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2024\NTMA\Prep\"/>
    </mc:Choice>
  </mc:AlternateContent>
  <xr:revisionPtr revIDLastSave="0" documentId="13_ncr:1_{32FA5446-A3E6-49B3-BEC4-85D2B541D345}" xr6:coauthVersionLast="47" xr6:coauthVersionMax="47" xr10:uidLastSave="{00000000-0000-0000-0000-000000000000}"/>
  <workbookProtection workbookAlgorithmName="SHA-512" workbookHashValue="IFnBMDU+O/kfxP+k4P/kQW9EywY3xCRUJrUSv+TDe/hgPC4gjk3zlqz6MEl7k4rhLbpn+lryrzVj87Ev8afD0w==" workbookSaltValue="JW2j8nrnf8qi5HOEQqsOqQ==" workbookSpinCount="100000" lockStructure="1"/>
  <bookViews>
    <workbookView xWindow="-120" yWindow="-120" windowWidth="29040" windowHeight="15720" xr2:uid="{00000000-000D-0000-FFFF-FFFF00000000}"/>
  </bookViews>
  <sheets>
    <sheet name="NTMA Oper Costs" sheetId="1" r:id="rId1"/>
    <sheet name="Confidentiality" sheetId="12" r:id="rId2"/>
    <sheet name="Definitions" sheetId="19" r:id="rId3"/>
    <sheet name="Data" sheetId="18" state="hidden" r:id="rId4"/>
  </sheets>
  <definedNames>
    <definedName name="AAR">Data!$B$52</definedName>
    <definedName name="Accdpr">Data!$C$57</definedName>
    <definedName name="AD">Data!$C$99</definedName>
    <definedName name="Add">'NTMA Oper Costs'!$T$60</definedName>
    <definedName name="Addr1">'NTMA Oper Costs'!$P$24</definedName>
    <definedName name="Addr2">'NTMA Oper Costs'!$P$25</definedName>
    <definedName name="ADM_B">Data!$C$129</definedName>
    <definedName name="Admin">'NTMA Oper Costs'!$T$103</definedName>
    <definedName name="ADMS">Data!$C$128</definedName>
    <definedName name="ADMT">Data!$C$130</definedName>
    <definedName name="AMF">'NTMA Oper Costs'!$R$50</definedName>
    <definedName name="AP">'NTMA Oper Costs'!$T$75</definedName>
    <definedName name="AR">'NTMA Oper Costs'!$T$66</definedName>
    <definedName name="AVG">Data!$B$53</definedName>
    <definedName name="BD">Data!$C$102</definedName>
    <definedName name="Binv">Data!$C$70</definedName>
    <definedName name="Burden">'NTMA Oper Costs'!$T$93</definedName>
    <definedName name="CA">'NTMA Oper Costs'!$T$69</definedName>
    <definedName name="Cash">'NTMA Oper Costs'!$T$65</definedName>
    <definedName name="CEO_B">Data!$C$114</definedName>
    <definedName name="CEOS">Data!$C$113</definedName>
    <definedName name="CEOT">Data!$C$115</definedName>
    <definedName name="CFO_B">Data!$C$126</definedName>
    <definedName name="CFOS">Data!$C$125</definedName>
    <definedName name="CFOT">Data!$C$127</definedName>
    <definedName name="City">'NTMA Oper Costs'!$P$26</definedName>
    <definedName name="CL">'NTMA Oper Costs'!$T$78</definedName>
    <definedName name="COGS">'NTMA Oper Costs'!$T$99</definedName>
    <definedName name="CON_B">Data!$C$141</definedName>
    <definedName name="CONS">Data!$C$140</definedName>
    <definedName name="CONT">Data!$C$142</definedName>
    <definedName name="DES_B">Data!$C$156</definedName>
    <definedName name="DESS">Data!$C$155</definedName>
    <definedName name="DEST">Data!$C$157</definedName>
    <definedName name="Diff">Data!$C$90</definedName>
    <definedName name="Dlab">'NTMA Oper Costs'!$T$91</definedName>
    <definedName name="DPR">'NTMA Oper Costs'!$T$97</definedName>
    <definedName name="Dremp">'NTMA Oper Costs'!$R$38</definedName>
    <definedName name="eaddr">'NTMA Oper Costs'!$P$30</definedName>
    <definedName name="Einv">Data!$C$89</definedName>
    <definedName name="EMP">'NTMA Oper Costs'!$R$44</definedName>
    <definedName name="End">'NTMA Oper Costs'!$T$61</definedName>
    <definedName name="ENG_B">Data!$C$122</definedName>
    <definedName name="ENGS">Data!$C$122</definedName>
    <definedName name="ENGT">Data!$C$124</definedName>
    <definedName name="EQTY">'NTMA Oper Costs'!$T$81</definedName>
    <definedName name="Equip">Data!$C$84</definedName>
    <definedName name="EST_B">Data!$C$168</definedName>
    <definedName name="ESTS">Data!$C$167</definedName>
    <definedName name="ESTT">Data!$C$169</definedName>
    <definedName name="Exec">'NTMA Oper Costs'!$T$102</definedName>
    <definedName name="Exemp">'NTMA Oper Costs'!$R$42</definedName>
    <definedName name="Export">Data!$C$44</definedName>
    <definedName name="Fiscal">Data!$B$15</definedName>
    <definedName name="Fixed">'NTMA Oper Costs'!$T$70</definedName>
    <definedName name="FORE_B">Data!$C$150</definedName>
    <definedName name="FORES">Data!$C$149</definedName>
    <definedName name="FORET">Data!$C$151</definedName>
    <definedName name="Gabur">'NTMA Oper Costs'!$T$105</definedName>
    <definedName name="Gawel">Data!$C$97</definedName>
    <definedName name="GFA">Data!$C$56</definedName>
    <definedName name="GM_B">Data!$C$138</definedName>
    <definedName name="GMS">Data!$C$137</definedName>
    <definedName name="GMT">Data!$C$139</definedName>
    <definedName name="GP">'NTMA Oper Costs'!$T$100</definedName>
    <definedName name="GPM">'NTMA Oper Costs'!$R$49</definedName>
    <definedName name="HR_B">Data!$C$132</definedName>
    <definedName name="HRS">Data!$C$131</definedName>
    <definedName name="HRT">Data!$C$133</definedName>
    <definedName name="ID">'NTMA Oper Costs'!$T$20</definedName>
    <definedName name="Ilab">'NTMA Oper Costs'!$T$92</definedName>
    <definedName name="Indemp">'NTMA Oper Costs'!$R$39</definedName>
    <definedName name="Ins">Data!$C$85</definedName>
    <definedName name="INT">'NTMA Oper Costs'!$T$110</definedName>
    <definedName name="Inv">'NTMA Oper Costs'!$T$67</definedName>
    <definedName name="Lab">Data!$C$73</definedName>
    <definedName name="LIAB">'NTMA Oper Costs'!$T$82</definedName>
    <definedName name="LIFO">'NTMA Oper Costs'!$T$58</definedName>
    <definedName name="LOAN">'NTMA Oper Costs'!$T$80</definedName>
    <definedName name="LTL">'NTMA Oper Costs'!$T$79</definedName>
    <definedName name="MAN_B">Data!$C$120</definedName>
    <definedName name="MANS">Data!$C$119</definedName>
    <definedName name="MANT">Data!$C$121</definedName>
    <definedName name="Mat">'NTMA Oper Costs'!$T$90</definedName>
    <definedName name="MIS_B">Data!$C$135</definedName>
    <definedName name="MISS">Data!$C$134</definedName>
    <definedName name="MIST">Data!$C$136</definedName>
    <definedName name="Mlds">'NTMA Oper Costs'!$R$48</definedName>
    <definedName name="Name">'NTMA Oper Costs'!$P$23</definedName>
    <definedName name="NET">'NTMA Oper Costs'!$T$114</definedName>
    <definedName name="NP">'NTMA Oper Costs'!$T$76</definedName>
    <definedName name="NS">'NTMA Oper Costs'!$T$88</definedName>
    <definedName name="OCA">'NTMA Oper Costs'!$T$68</definedName>
    <definedName name="OCL">'NTMA Oper Costs'!$T$77</definedName>
    <definedName name="OE">'NTMA Oper Costs'!$T$106</definedName>
    <definedName name="OEMP">'NTMA Oper Costs'!$R$43</definedName>
    <definedName name="OEX">'NTMA Oper Costs'!$T$111</definedName>
    <definedName name="OFA">'NTMA Oper Costs'!$T$71</definedName>
    <definedName name="OI">'NTMA Oper Costs'!$T$109</definedName>
    <definedName name="Oind">'NTMA Oper Costs'!$R$54</definedName>
    <definedName name="OM_B">Data!$C$159</definedName>
    <definedName name="Omfr">'NTMA Oper Costs'!$T$98</definedName>
    <definedName name="OMS">Data!$C$158</definedName>
    <definedName name="OMT">Data!$C$160</definedName>
    <definedName name="OP">'NTMA Oper Costs'!$T$108</definedName>
    <definedName name="Org">Data!$B$17</definedName>
    <definedName name="Osell">Data!$C$101</definedName>
    <definedName name="OT">Data!$C$74</definedName>
    <definedName name="PA">Data!$C$98</definedName>
    <definedName name="PBT">'NTMA Oper Costs'!$T$112</definedName>
    <definedName name="PDF">'NTMA Oper Costs'!$P$31</definedName>
    <definedName name="Person">'NTMA Oper Costs'!$P$21</definedName>
    <definedName name="Phone">'NTMA Oper Costs'!$P$29</definedName>
    <definedName name="Prev">'NTMA Oper Costs'!$T$85</definedName>
    <definedName name="_xlnm.Print_Area" localSheetId="1">Confidentiality!$A$1:$K$39</definedName>
    <definedName name="_xlnm.Print_Area" localSheetId="3">Data!$A$1:$B$60</definedName>
    <definedName name="_xlnm.Print_Area" localSheetId="2">Definitions!$A$1:$M$267</definedName>
    <definedName name="_xlnm.Print_Area" localSheetId="0">'NTMA Oper Costs'!$A$1:$Z$114</definedName>
    <definedName name="Prodn">'NTMA Oper Costs'!$R$52</definedName>
    <definedName name="PUR_B">Data!$C$144</definedName>
    <definedName name="PURS">Data!$C$143</definedName>
    <definedName name="PURT">Data!$C$145</definedName>
    <definedName name="QC_B">Data!$C$153</definedName>
    <definedName name="QCS">Data!$C$152</definedName>
    <definedName name="QCT">Data!$C$154</definedName>
    <definedName name="Rent">'NTMA Oper Costs'!$T$96</definedName>
    <definedName name="RM">Data!$C$76</definedName>
    <definedName name="Sheet">'NTMA Oper Costs'!$R$53</definedName>
    <definedName name="SHOP_B">Data!$C$147</definedName>
    <definedName name="SHOPS">Data!$C$146</definedName>
    <definedName name="SHOPT">Data!$C$148</definedName>
    <definedName name="Sls">'NTMA Oper Costs'!$T$104</definedName>
    <definedName name="SLS_B">Data!$C$165</definedName>
    <definedName name="Slsemp">'NTMA Oper Costs'!$R$41</definedName>
    <definedName name="SLSS">Data!$C$164</definedName>
    <definedName name="SLST">Data!$C$166</definedName>
    <definedName name="SM_B">Data!$C$117</definedName>
    <definedName name="SMAN_B">Data!$C$162</definedName>
    <definedName name="SMANS">Data!$C$161</definedName>
    <definedName name="SMANT">Data!$C$163</definedName>
    <definedName name="SMS">Data!$C$116</definedName>
    <definedName name="SMT">Data!$C$118</definedName>
    <definedName name="SPC">'NTMA Oper Costs'!$R$51</definedName>
    <definedName name="State">'NTMA Oper Costs'!$P$27</definedName>
    <definedName name="Sub">Data!$C$72</definedName>
    <definedName name="Supp">'NTMA Oper Costs'!$T$94</definedName>
    <definedName name="SUPR">Data!$C$78</definedName>
    <definedName name="Supremp">'NTMA Oper Costs'!$R$40</definedName>
    <definedName name="TA">'NTMA Oper Costs'!$T$72</definedName>
    <definedName name="TAX">'NTMA Oper Costs'!$T$113</definedName>
    <definedName name="Taxes">Data!$C$86</definedName>
    <definedName name="TE">'NTMA Oper Costs'!$T$107</definedName>
    <definedName name="Title">'NTMA Oper Costs'!$P$22</definedName>
    <definedName name="Tls">'NTMA Oper Costs'!$R$47</definedName>
    <definedName name="TOE">Data!$C$104</definedName>
    <definedName name="TRV">Data!$C$100</definedName>
    <definedName name="UT">'NTMA Oper Costs'!$T$95</definedName>
    <definedName name="Wel">Data!$C$80</definedName>
    <definedName name="Years">Data!$B$16</definedName>
    <definedName name="Yr">'NTMA Oper Costs'!$K$4</definedName>
    <definedName name="Zipcode">'NTMA Oper Costs'!$P$28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1" l="1"/>
  <c r="R54" i="1"/>
  <c r="B33" i="18"/>
  <c r="B32" i="18"/>
  <c r="B31" i="18"/>
  <c r="B30" i="18"/>
  <c r="B29" i="18"/>
  <c r="B28" i="18"/>
  <c r="B27" i="18"/>
  <c r="B34" i="18"/>
  <c r="J2" i="18"/>
  <c r="I2" i="18"/>
  <c r="P2" i="18"/>
  <c r="O2" i="18"/>
  <c r="N2" i="18"/>
  <c r="M2" i="18"/>
  <c r="L2" i="18"/>
  <c r="K2" i="18"/>
  <c r="D2" i="18"/>
  <c r="C2" i="18"/>
  <c r="B2" i="18"/>
  <c r="B61" i="1"/>
  <c r="B60" i="1"/>
  <c r="T107" i="1"/>
  <c r="T99" i="1"/>
  <c r="T100" i="1"/>
  <c r="L85" i="1"/>
  <c r="T69" i="1"/>
  <c r="B55" i="18"/>
  <c r="T78" i="1"/>
  <c r="R44" i="1"/>
  <c r="B22" i="18"/>
  <c r="B109" i="18"/>
  <c r="B48" i="18"/>
  <c r="B1" i="18"/>
  <c r="B144" i="18"/>
  <c r="B143" i="18"/>
  <c r="B145" i="18"/>
  <c r="B111" i="18"/>
  <c r="B98" i="18"/>
  <c r="B104" i="18"/>
  <c r="B66" i="18"/>
  <c r="B63" i="18"/>
  <c r="B50" i="18"/>
  <c r="B49" i="18"/>
  <c r="B14" i="18"/>
  <c r="B166" i="18"/>
  <c r="B160" i="18"/>
  <c r="B154" i="18"/>
  <c r="B133" i="18"/>
  <c r="B127" i="18"/>
  <c r="B124" i="18"/>
  <c r="B118" i="18"/>
  <c r="B168" i="18"/>
  <c r="B167" i="18"/>
  <c r="B165" i="18"/>
  <c r="B164" i="18"/>
  <c r="B162" i="18"/>
  <c r="B161" i="18"/>
  <c r="B159" i="18"/>
  <c r="B158" i="18"/>
  <c r="B156" i="18"/>
  <c r="B155" i="18"/>
  <c r="B153" i="18"/>
  <c r="B152" i="18"/>
  <c r="B150" i="18"/>
  <c r="B149" i="18"/>
  <c r="B147" i="18"/>
  <c r="B146" i="18"/>
  <c r="B141" i="18"/>
  <c r="B140" i="18"/>
  <c r="B138" i="18"/>
  <c r="B137" i="18"/>
  <c r="B135" i="18"/>
  <c r="B134" i="18"/>
  <c r="B132" i="18"/>
  <c r="B131" i="18"/>
  <c r="B129" i="18"/>
  <c r="B128" i="18"/>
  <c r="B126" i="18"/>
  <c r="B125" i="18"/>
  <c r="B123" i="18"/>
  <c r="B122" i="18"/>
  <c r="B120" i="18"/>
  <c r="B119" i="18"/>
  <c r="B117" i="18"/>
  <c r="B114" i="18"/>
  <c r="B53" i="18"/>
  <c r="B47" i="18"/>
  <c r="B113" i="18"/>
  <c r="B116" i="18"/>
  <c r="B108" i="18"/>
  <c r="B107" i="18"/>
  <c r="B102" i="18"/>
  <c r="B101" i="18"/>
  <c r="B100" i="18"/>
  <c r="B99" i="18"/>
  <c r="B97" i="18"/>
  <c r="B96" i="18"/>
  <c r="B95" i="18"/>
  <c r="B94" i="18"/>
  <c r="B93" i="18"/>
  <c r="B90" i="18"/>
  <c r="B89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4" i="18"/>
  <c r="B73" i="18"/>
  <c r="B72" i="18"/>
  <c r="B71" i="18"/>
  <c r="B70" i="18"/>
  <c r="B69" i="18"/>
  <c r="B65" i="18"/>
  <c r="B62" i="18"/>
  <c r="B61" i="18"/>
  <c r="B57" i="18"/>
  <c r="B56" i="18"/>
  <c r="B52" i="18"/>
  <c r="B51" i="18"/>
  <c r="B46" i="18"/>
  <c r="B45" i="18"/>
  <c r="B10" i="18"/>
  <c r="B75" i="18"/>
  <c r="B157" i="18"/>
  <c r="B148" i="18"/>
  <c r="B58" i="18"/>
  <c r="B21" i="18"/>
  <c r="B19" i="18"/>
  <c r="B18" i="18"/>
  <c r="B169" i="18"/>
  <c r="B151" i="18"/>
  <c r="B142" i="18"/>
  <c r="B139" i="18"/>
  <c r="B130" i="18"/>
  <c r="B136" i="18"/>
  <c r="B115" i="18"/>
  <c r="B91" i="18"/>
  <c r="B88" i="18"/>
  <c r="B103" i="18"/>
  <c r="B105" i="18"/>
  <c r="B92" i="18"/>
  <c r="B23" i="18"/>
  <c r="B20" i="18"/>
  <c r="B24" i="18"/>
  <c r="B163" i="18"/>
  <c r="B106" i="18"/>
  <c r="T108" i="1"/>
  <c r="T72" i="1"/>
  <c r="B54" i="18"/>
  <c r="B64" i="18"/>
  <c r="B121" i="18"/>
  <c r="B59" i="18"/>
  <c r="B60" i="18"/>
  <c r="T82" i="1"/>
  <c r="B110" i="18"/>
  <c r="T112" i="1"/>
  <c r="B68" i="18"/>
  <c r="T81" i="1"/>
  <c r="T114" i="1"/>
  <c r="B112" i="18"/>
  <c r="B67" i="18"/>
  <c r="B44" i="18"/>
</calcChain>
</file>

<file path=xl/sharedStrings.xml><?xml version="1.0" encoding="utf-8"?>
<sst xmlns="http://schemas.openxmlformats.org/spreadsheetml/2006/main" count="630" uniqueCount="549">
  <si>
    <t>Mailing Address</t>
  </si>
  <si>
    <t>Telephone</t>
  </si>
  <si>
    <t>%</t>
  </si>
  <si>
    <t>$</t>
  </si>
  <si>
    <t>Assets</t>
  </si>
  <si>
    <t>Current Assets</t>
  </si>
  <si>
    <t>Other Current Assets</t>
  </si>
  <si>
    <t>Liabilities and Net Worth</t>
  </si>
  <si>
    <t>Current Liabilities</t>
  </si>
  <si>
    <t>Inventory</t>
  </si>
  <si>
    <t>Cash &amp; Marketable Securities</t>
  </si>
  <si>
    <t>Company</t>
  </si>
  <si>
    <t>Survey Deadline</t>
  </si>
  <si>
    <t>Participant data will be aggregated in a way that prevents identification of any individual company.</t>
  </si>
  <si>
    <t>INSTRUCTIONS</t>
  </si>
  <si>
    <r>
      <t xml:space="preserve">Enter the financial statement figures for your </t>
    </r>
    <r>
      <rPr>
        <b/>
        <sz val="10"/>
        <rFont val="Arial"/>
        <family val="2"/>
      </rPr>
      <t>most recently completed fiscal year</t>
    </r>
    <r>
      <rPr>
        <sz val="10"/>
        <rFont val="Arial"/>
        <family val="2"/>
      </rPr>
      <t xml:space="preserve"> (12 months of data).  </t>
    </r>
  </si>
  <si>
    <t>Full year data is required, but the data need not be audited.</t>
  </si>
  <si>
    <t>Feel free to estimate if necessary.  It is better to make an educated guess than to leave a field blank.</t>
  </si>
  <si>
    <t>1.</t>
  </si>
  <si>
    <t>2.</t>
  </si>
  <si>
    <t>3.</t>
  </si>
  <si>
    <t>4.</t>
  </si>
  <si>
    <t>Major features of their data management procedure include:</t>
  </si>
  <si>
    <t>STATEMENT OF CONFIDENTIALITY</t>
  </si>
  <si>
    <t>procedures, they have never had a confidentiality problem.</t>
  </si>
  <si>
    <t xml:space="preserve">Specific data masking procedures are in place to ensure that no one company's data can be identified </t>
  </si>
  <si>
    <t>from the aggregate industry data being reported.</t>
  </si>
  <si>
    <t>Your firm's data will be identified in the database only by a company identification number.  A single</t>
  </si>
  <si>
    <t>Every precaution has been taken to protect the complete confidentiality of all information, and this</t>
  </si>
  <si>
    <t>responsibility is taken very seriously.  Companies of all sizes, from less than a million to well over a</t>
  </si>
  <si>
    <t>5.</t>
  </si>
  <si>
    <t>6.</t>
  </si>
  <si>
    <t>7.</t>
  </si>
  <si>
    <t>8.</t>
  </si>
  <si>
    <t>Loans from Stockholders</t>
  </si>
  <si>
    <t>Fax</t>
  </si>
  <si>
    <t>Email Address</t>
  </si>
  <si>
    <t>No</t>
  </si>
  <si>
    <t>Yes</t>
  </si>
  <si>
    <t>Owners and management rightly feel that their firm's financial data is highly confidential.</t>
  </si>
  <si>
    <r>
      <t xml:space="preserve">b.  If yes, how much was your total </t>
    </r>
    <r>
      <rPr>
        <u/>
        <sz val="10"/>
        <rFont val="Arial"/>
        <family val="2"/>
      </rPr>
      <t>ending</t>
    </r>
    <r>
      <rPr>
        <sz val="10"/>
        <rFont val="Arial"/>
      </rPr>
      <t xml:space="preserve"> LIFO reserve?</t>
    </r>
  </si>
  <si>
    <t>Net Sales</t>
  </si>
  <si>
    <t>Other Non-Operating Expenses</t>
  </si>
  <si>
    <t>Income Taxes</t>
  </si>
  <si>
    <t>Operating Profit</t>
  </si>
  <si>
    <t>Total Sales</t>
  </si>
  <si>
    <t>All Other Employees</t>
  </si>
  <si>
    <t>Total number of employees</t>
  </si>
  <si>
    <t>9.</t>
  </si>
  <si>
    <t>Company Demographics</t>
  </si>
  <si>
    <t>Balance Sheet</t>
  </si>
  <si>
    <t>Cost of Goods Sold</t>
  </si>
  <si>
    <t>Your data will be treated confidentially by Mackay Research Group.</t>
  </si>
  <si>
    <t>handling and protecting data submitted by firms for industry performance surveys. Because of their strict</t>
  </si>
  <si>
    <t>Mackay Research Group is extremely sensitive to this issue, and has developed secure methods of</t>
  </si>
  <si>
    <t>The processing of such data is restricted exclusively to employees of the Mackay Research Group.</t>
  </si>
  <si>
    <t>directly to Mackay Research Group.  Access to your data will be solely restricted to necessary Mackay</t>
  </si>
  <si>
    <t>Research Group personnel.</t>
  </si>
  <si>
    <t>In summary, confidentiality of client information is at the core of Mackay Research Group's business.</t>
  </si>
  <si>
    <t xml:space="preserve">billion dollars in sales, send thousands of survey forms to Mackay Research Group each year, trusting  </t>
  </si>
  <si>
    <t>Mackay Research Group to securely manage their sensitive data.</t>
  </si>
  <si>
    <t>Income Statement</t>
  </si>
  <si>
    <t>CONFIDENTIAL</t>
  </si>
  <si>
    <t>Mackay Research Group independently conducts this survey for NTMA; you send your questionnaire</t>
  </si>
  <si>
    <t>Direct Labor</t>
  </si>
  <si>
    <t>Indirect Labor</t>
  </si>
  <si>
    <t>Sales</t>
  </si>
  <si>
    <t>Executive, Administrative &amp; Clerical</t>
  </si>
  <si>
    <t>Sales by industry classification</t>
  </si>
  <si>
    <t>Tools &amp; Dies</t>
  </si>
  <si>
    <t>Molds</t>
  </si>
  <si>
    <t>Aerospace Machining and Fabrication</t>
  </si>
  <si>
    <t>Special Machines</t>
  </si>
  <si>
    <t>Production Operations</t>
  </si>
  <si>
    <t>Accounts Receivable</t>
  </si>
  <si>
    <t>Fixed Assets</t>
  </si>
  <si>
    <t>Manufacturing Profit</t>
  </si>
  <si>
    <t>Total Selling &amp; Administrative Expenses</t>
  </si>
  <si>
    <t xml:space="preserve">  Profit Before Taxes</t>
  </si>
  <si>
    <t xml:space="preserve">  Net Profit After Taxes</t>
  </si>
  <si>
    <t>Direct Materials</t>
  </si>
  <si>
    <t>Tools &amp; Supplies</t>
  </si>
  <si>
    <t>Utilities</t>
  </si>
  <si>
    <t>Rent/Lease</t>
  </si>
  <si>
    <t>Depreciation &amp; Amortization</t>
  </si>
  <si>
    <t>Other Noncurrent Assets</t>
  </si>
  <si>
    <r>
      <t xml:space="preserve">a.  If yes, how much was your annual </t>
    </r>
    <r>
      <rPr>
        <u/>
        <sz val="10"/>
        <rFont val="Arial"/>
        <family val="2"/>
      </rPr>
      <t>addition</t>
    </r>
    <r>
      <rPr>
        <sz val="10"/>
        <rFont val="Arial"/>
        <family val="2"/>
      </rPr>
      <t xml:space="preserve"> to LIFO reserves for the year?</t>
    </r>
  </si>
  <si>
    <t>Total Assets</t>
  </si>
  <si>
    <t>Total Current Assets</t>
  </si>
  <si>
    <t>Total Current Liabilities</t>
  </si>
  <si>
    <t>Total Liabilities and Net Worth</t>
  </si>
  <si>
    <t>Total Cost of Goods Sold</t>
  </si>
  <si>
    <t>surveys@mackayresearchgroup.com</t>
  </si>
  <si>
    <t>Email your completed questionnaire to:</t>
  </si>
  <si>
    <t>Accounts Payable</t>
  </si>
  <si>
    <t>Other Current Liabilities</t>
  </si>
  <si>
    <t>(not due within one year)</t>
  </si>
  <si>
    <t>Long Term Liabilities</t>
  </si>
  <si>
    <t>(paid-in capital &amp; retained earnings)</t>
  </si>
  <si>
    <t>Net Worth or Owner Equity</t>
  </si>
  <si>
    <t>Were you on a LIFO Inventory Valuation System last year?</t>
  </si>
  <si>
    <t>Questions regarding this survey?</t>
  </si>
  <si>
    <t>from the data files, where the data is identified only by ID number.</t>
  </si>
  <si>
    <t>master list which cross-references company names and their ID numbers is maintained separately</t>
  </si>
  <si>
    <t>Only items in boxes can be entered.  All other items are calculated automatically.</t>
  </si>
  <si>
    <t>performance to industry benchmarks, please complete the following:</t>
  </si>
  <si>
    <t>Other</t>
  </si>
  <si>
    <t>Name</t>
  </si>
  <si>
    <t>Title</t>
  </si>
  <si>
    <t>City</t>
  </si>
  <si>
    <t>State</t>
  </si>
  <si>
    <t>Zip Code</t>
  </si>
  <si>
    <t>Sheet Metal Fabrication</t>
  </si>
  <si>
    <r>
      <t>Previous</t>
    </r>
    <r>
      <rPr>
        <sz val="10"/>
        <rFont val="Arial"/>
      </rPr>
      <t xml:space="preserve"> fiscal year Net Sales</t>
    </r>
  </si>
  <si>
    <t>Year</t>
  </si>
  <si>
    <t>Address1</t>
  </si>
  <si>
    <t>Address2</t>
  </si>
  <si>
    <t>Zipcode</t>
  </si>
  <si>
    <t>Phone</t>
  </si>
  <si>
    <t>Eaddr</t>
  </si>
  <si>
    <t>FISCAL</t>
  </si>
  <si>
    <t>YEARS</t>
  </si>
  <si>
    <t>ORG</t>
  </si>
  <si>
    <t>DREMP</t>
  </si>
  <si>
    <t>INDEMP</t>
  </si>
  <si>
    <t>SUPREMP</t>
  </si>
  <si>
    <t>SLSEMP</t>
  </si>
  <si>
    <t>EXEMP</t>
  </si>
  <si>
    <t>OEMP</t>
  </si>
  <si>
    <t>EMP</t>
  </si>
  <si>
    <t>GOVTP</t>
  </si>
  <si>
    <t>GOVTS</t>
  </si>
  <si>
    <t>TLS</t>
  </si>
  <si>
    <t>MLDS</t>
  </si>
  <si>
    <t>GPM</t>
  </si>
  <si>
    <t>AMF</t>
  </si>
  <si>
    <t>SPC</t>
  </si>
  <si>
    <t>PRODN</t>
  </si>
  <si>
    <t>SHEET</t>
  </si>
  <si>
    <t>OIND</t>
  </si>
  <si>
    <t>AUTO</t>
  </si>
  <si>
    <t>AERO</t>
  </si>
  <si>
    <t>APPL</t>
  </si>
  <si>
    <t>ELECT</t>
  </si>
  <si>
    <t>MINE</t>
  </si>
  <si>
    <t>CHEM</t>
  </si>
  <si>
    <t>FMP</t>
  </si>
  <si>
    <t>FOOD</t>
  </si>
  <si>
    <t>OCUST</t>
  </si>
  <si>
    <t>EXPORT</t>
  </si>
  <si>
    <t>PREV</t>
  </si>
  <si>
    <t>AAR</t>
  </si>
  <si>
    <t>AVG</t>
  </si>
  <si>
    <t>LIFO</t>
  </si>
  <si>
    <t>ADD</t>
  </si>
  <si>
    <t>END</t>
  </si>
  <si>
    <t>TA</t>
  </si>
  <si>
    <t>CA</t>
  </si>
  <si>
    <t>CASH</t>
  </si>
  <si>
    <t>AR</t>
  </si>
  <si>
    <t>INV</t>
  </si>
  <si>
    <t>OCA</t>
  </si>
  <si>
    <t>GFA</t>
  </si>
  <si>
    <t>ACCDPR</t>
  </si>
  <si>
    <t>FIXED</t>
  </si>
  <si>
    <t>OFA</t>
  </si>
  <si>
    <t>CL</t>
  </si>
  <si>
    <t>AP</t>
  </si>
  <si>
    <t>NP</t>
  </si>
  <si>
    <t>OCL</t>
  </si>
  <si>
    <t>LTL</t>
  </si>
  <si>
    <t>LOAN</t>
  </si>
  <si>
    <t>EQTY</t>
  </si>
  <si>
    <t>LIAB</t>
  </si>
  <si>
    <t>NS</t>
  </si>
  <si>
    <t>BINV</t>
  </si>
  <si>
    <t>MAT</t>
  </si>
  <si>
    <t>SUB</t>
  </si>
  <si>
    <t>LAB</t>
  </si>
  <si>
    <t>OT</t>
  </si>
  <si>
    <t>DLAB</t>
  </si>
  <si>
    <t>RM</t>
  </si>
  <si>
    <t>ILAB</t>
  </si>
  <si>
    <t>SUPR</t>
  </si>
  <si>
    <t>BURDEN</t>
  </si>
  <si>
    <t>WEL</t>
  </si>
  <si>
    <t>SUPP</t>
  </si>
  <si>
    <t>UT</t>
  </si>
  <si>
    <t>RENT</t>
  </si>
  <si>
    <t>EQUIP</t>
  </si>
  <si>
    <t>INS</t>
  </si>
  <si>
    <t>TAXES</t>
  </si>
  <si>
    <t>DPR</t>
  </si>
  <si>
    <t>OMFR</t>
  </si>
  <si>
    <t>EINV</t>
  </si>
  <si>
    <t>DIFF</t>
  </si>
  <si>
    <t>COGS</t>
  </si>
  <si>
    <t>GP</t>
  </si>
  <si>
    <t>EXEC</t>
  </si>
  <si>
    <t>ADMIN</t>
  </si>
  <si>
    <t>SLS</t>
  </si>
  <si>
    <t>GABUR</t>
  </si>
  <si>
    <t>GAWEL</t>
  </si>
  <si>
    <t>PA</t>
  </si>
  <si>
    <t>AD</t>
  </si>
  <si>
    <t>TRV</t>
  </si>
  <si>
    <t>OSELL</t>
  </si>
  <si>
    <t>BD</t>
  </si>
  <si>
    <t>OE</t>
  </si>
  <si>
    <t>TOE</t>
  </si>
  <si>
    <t>TE</t>
  </si>
  <si>
    <t>OP</t>
  </si>
  <si>
    <t>OI</t>
  </si>
  <si>
    <t>INT</t>
  </si>
  <si>
    <t>OEX</t>
  </si>
  <si>
    <t>PBT</t>
  </si>
  <si>
    <t>TAX</t>
  </si>
  <si>
    <t>NET</t>
  </si>
  <si>
    <t>CEOS</t>
  </si>
  <si>
    <t>CEO_B</t>
  </si>
  <si>
    <t>CEOT</t>
  </si>
  <si>
    <t>SMS</t>
  </si>
  <si>
    <t>SM_B</t>
  </si>
  <si>
    <t>SMT</t>
  </si>
  <si>
    <t>MANS</t>
  </si>
  <si>
    <t>MAN_B</t>
  </si>
  <si>
    <t>MANT</t>
  </si>
  <si>
    <t>ENGS</t>
  </si>
  <si>
    <t>ENG_B</t>
  </si>
  <si>
    <t>ENGT</t>
  </si>
  <si>
    <t>CFOS</t>
  </si>
  <si>
    <t>CFO_B</t>
  </si>
  <si>
    <t>CFOT</t>
  </si>
  <si>
    <t>ADMS</t>
  </si>
  <si>
    <t>ADM_B</t>
  </si>
  <si>
    <t>ADMT</t>
  </si>
  <si>
    <t>HRS</t>
  </si>
  <si>
    <t>HR_B</t>
  </si>
  <si>
    <t>HRT</t>
  </si>
  <si>
    <t>MISS</t>
  </si>
  <si>
    <t>MIS_B</t>
  </si>
  <si>
    <t>MIST</t>
  </si>
  <si>
    <t>GMS</t>
  </si>
  <si>
    <t>GM_B</t>
  </si>
  <si>
    <t>GMT</t>
  </si>
  <si>
    <t>CONS</t>
  </si>
  <si>
    <t>CON_B</t>
  </si>
  <si>
    <t>CONT</t>
  </si>
  <si>
    <t>SHOPS</t>
  </si>
  <si>
    <t>SHOP_B</t>
  </si>
  <si>
    <t>SHOPT</t>
  </si>
  <si>
    <t>FORES</t>
  </si>
  <si>
    <t>FORE_B</t>
  </si>
  <si>
    <t>FORET</t>
  </si>
  <si>
    <t>QCS</t>
  </si>
  <si>
    <t>QC_B</t>
  </si>
  <si>
    <t>QCT</t>
  </si>
  <si>
    <t>DESS</t>
  </si>
  <si>
    <t>DES_B</t>
  </si>
  <si>
    <t>DEST</t>
  </si>
  <si>
    <t>OMS</t>
  </si>
  <si>
    <t>OM_B</t>
  </si>
  <si>
    <t>OMT</t>
  </si>
  <si>
    <t>SMANS</t>
  </si>
  <si>
    <t>SMAN_B</t>
  </si>
  <si>
    <t>SMANT</t>
  </si>
  <si>
    <t>SLSS</t>
  </si>
  <si>
    <t>SLS_B</t>
  </si>
  <si>
    <t>SLST</t>
  </si>
  <si>
    <t>ESTS</t>
  </si>
  <si>
    <t>EST_B</t>
  </si>
  <si>
    <t>ESTT</t>
  </si>
  <si>
    <t>ID</t>
  </si>
  <si>
    <t>(Yes/No)</t>
  </si>
  <si>
    <t>.</t>
  </si>
  <si>
    <t>*** FIFO Inventory Valuation System used, Skip to Balance Sheet below</t>
  </si>
  <si>
    <t>PDF</t>
  </si>
  <si>
    <t>Y</t>
  </si>
  <si>
    <t>N</t>
  </si>
  <si>
    <t>PURS</t>
  </si>
  <si>
    <t>PUR_B</t>
  </si>
  <si>
    <t>PURT</t>
  </si>
  <si>
    <t>taylor@mackayresearchgroup.com</t>
  </si>
  <si>
    <r>
      <t xml:space="preserve">General Precision Machining </t>
    </r>
    <r>
      <rPr>
        <sz val="10"/>
        <rFont val="Arial Narrow"/>
        <family val="2"/>
      </rPr>
      <t>(not Aerospace)</t>
    </r>
  </si>
  <si>
    <r>
      <t xml:space="preserve">As an option, </t>
    </r>
    <r>
      <rPr>
        <b/>
        <sz val="10"/>
        <rFont val="Arial"/>
        <family val="2"/>
      </rPr>
      <t xml:space="preserve">you may submit a copy of your income statement and balance sheet </t>
    </r>
    <r>
      <rPr>
        <sz val="10"/>
        <rFont val="Arial"/>
        <family val="2"/>
      </rPr>
      <t>(12 months of data)</t>
    </r>
  </si>
  <si>
    <t>Selling &amp; Administrative Expenses</t>
  </si>
  <si>
    <t xml:space="preserve">Management Compensation </t>
  </si>
  <si>
    <t>Plant Supervision</t>
  </si>
  <si>
    <t>instead of answering questions 4 and 6 on this questionnaire.</t>
  </si>
  <si>
    <t>All Other Selling &amp; Admnistrative Expenses</t>
  </si>
  <si>
    <t>Operating Costs Survey</t>
  </si>
  <si>
    <t>NATIONAL TOOLING AND MACHINING ASSOCIATION</t>
  </si>
  <si>
    <t>Operating Cost Survey Definitions</t>
  </si>
  <si>
    <t>Number of employees by job function</t>
  </si>
  <si>
    <t>Count full-time equivalent (FTE) employees including owners as appropriate.  For example,</t>
  </si>
  <si>
    <t>include an employee who works 20 hours a week for the entire year as 0.5 employees; one who</t>
  </si>
  <si>
    <t>only worked three months as 0.25.</t>
  </si>
  <si>
    <t>directly engaged in producing items  or machine set-up &amp; heat treating labor</t>
  </si>
  <si>
    <t>purchasing, production scheduler, shipping &amp; receiving, material handling, quality control, etc</t>
  </si>
  <si>
    <t>plus sales managers, estimators, product managers,sales suppport, customer service, etc.</t>
  </si>
  <si>
    <t>Dir of HR &amp; any other execs not reported in manufacturing labor or selling, senior managers,</t>
  </si>
  <si>
    <t>accounting, general office clerical, information technology, administrative assistants, etc.</t>
  </si>
  <si>
    <t>The percentage of total sales accounted for by each type of industry class. Total sales equal 100%.</t>
  </si>
  <si>
    <t>and other materials. Also produce jigs, fixtures, and gauges and other measuring devices.</t>
  </si>
  <si>
    <t>Die makers construct metal forms used to shape metal in stamping and forging operations.</t>
  </si>
  <si>
    <t>frame called a mold.</t>
  </si>
  <si>
    <t>cutting surface, such as grinding, honing, turning, milling, etc. The process is controlled in a</t>
  </si>
  <si>
    <t>manner that all variation (vibration, bearings, measurement error, etc.) is statistically insignificant</t>
  </si>
  <si>
    <t>except for tool wear.</t>
  </si>
  <si>
    <t>the various aspects of designing, building, testing, selling, and maintaining aircraft, aircraft parts,</t>
  </si>
  <si>
    <t>missiles, rockets, or spacecraft.</t>
  </si>
  <si>
    <t>Special machines are not available off the shelf. Therefore they have to be designed &amp; tailor made</t>
  </si>
  <si>
    <t>as per the customer’s specific requirements.</t>
  </si>
  <si>
    <t>set of defined, controlled and repeatable processes.</t>
  </si>
  <si>
    <t>bending, and assembling.</t>
  </si>
  <si>
    <t>Other Sales</t>
  </si>
  <si>
    <t>TOTAL SALES = 100.0%</t>
  </si>
  <si>
    <t>Net Sales for previous fiscal year</t>
  </si>
  <si>
    <t>Sales revenue for the prior fiscal year, after deductions for returns, cash discounts &amp; allowances.</t>
  </si>
  <si>
    <t>LIFO Inventory Valuation System</t>
  </si>
  <si>
    <t>Last in, first out (LIFO) is an inventory management and valuation method that assumes inventory</t>
  </si>
  <si>
    <t>acquired last are the ones sold first; LIFO assumes an entity sells its newest inventory first.</t>
  </si>
  <si>
    <t>Under LIFO the latest or more recent costs of products purchased are the first costs expensed as</t>
  </si>
  <si>
    <t>the cost of goods sold. This means that the costs of the oldest products will be reported as</t>
  </si>
  <si>
    <t>inventory. While LIFO is matching the latest or most recent costs with sales on the income</t>
  </si>
  <si>
    <t>statement, the company can be shipping the oldest physical units of product.</t>
  </si>
  <si>
    <t>With consistently increasing costs, the balance in the LIFO reserve account will have a credit</t>
  </si>
  <si>
    <t>balance—resulting in less costs reported in inventory. Under LIFO the latest (higher) costs are</t>
  </si>
  <si>
    <t>expensed to the cost of goods sold, while the older (lower) costs remain in inventory.</t>
  </si>
  <si>
    <t>The credit balance in the LIFO reserve reports the difference in the inventory costs under LIFO vs.</t>
  </si>
  <si>
    <t>FIFO since the time that LIFO was adopted. The change in the LIFO reserve balance during</t>
  </si>
  <si>
    <t>the current year (or the annual addition to LIFO) represents the current year's inflation in costs.</t>
  </si>
  <si>
    <t>If you do not value your inventory on a LIFO basis, please enter "0", zero.</t>
  </si>
  <si>
    <t>between the first in, first out (FIFO) and last in, first out (LIFO) cost of inventory for bookkeeping</t>
  </si>
  <si>
    <t>purposes. The LIFO reserve is an account used to bridge the difference between FIFO and LIFO</t>
  </si>
  <si>
    <t>costs, when a company uses the FIFO method to track its inventory but reports under the LIFO</t>
  </si>
  <si>
    <t>method in the preparation of its financial statements.</t>
  </si>
  <si>
    <t>BALANCE SHEET — Total Assets = Liabilities + Net Worth.</t>
  </si>
  <si>
    <t>a. </t>
  </si>
  <si>
    <t>overnight loans, marketable securities and other short-term investments.</t>
  </si>
  <si>
    <t>b.</t>
  </si>
  <si>
    <t>Notes receivable as a result of loans and advances to officers, employees or affiliated companies</t>
  </si>
  <si>
    <t>should be reported in Other Noncurrent Assets.</t>
  </si>
  <si>
    <t>c.</t>
  </si>
  <si>
    <t>d.</t>
  </si>
  <si>
    <t>current assets not reported previously. Any amounts due as a result of loans to officers, employees</t>
  </si>
  <si>
    <t>or affiliated companies should be reported in Other Noncurrent Assets.</t>
  </si>
  <si>
    <t>e.</t>
  </si>
  <si>
    <t>f.</t>
  </si>
  <si>
    <t>land, buildings, leasehold improvements, machinery, equipment, vehicles and any other assets</t>
  </si>
  <si>
    <t>capitalized on the balance sheet minus the Accumulated Depreciation of those capitalized assets.</t>
  </si>
  <si>
    <t>g.</t>
  </si>
  <si>
    <t>loans to affiliated companies, amounts due from officers and employees, goodwill, and all other</t>
  </si>
  <si>
    <t>noncurrent assets not reported above.</t>
  </si>
  <si>
    <t>h.</t>
  </si>
  <si>
    <t>Total Assets = Total Current Assets + Fixed Assets + Other Noncurrent Assets.</t>
  </si>
  <si>
    <t>Liabilities And Net Worth</t>
  </si>
  <si>
    <t>i.</t>
  </si>
  <si>
    <t>Trade notes payable beyond one year should be reported in Long Term Liabilities.</t>
  </si>
  <si>
    <t>j.</t>
  </si>
  <si>
    <t>(on mortgages, term loans and other long-term borrowing) due within one year.</t>
  </si>
  <si>
    <t>Also include amounts due under a revolving credit line, as well as short-term notes and any</t>
  </si>
  <si>
    <t>other forms of interest-bearing short-term debt.</t>
  </si>
  <si>
    <t>k.</t>
  </si>
  <si>
    <t>l.</t>
  </si>
  <si>
    <t>Total Current Liabilities = Accounts Payable + Notes Payable + Other Current Liabilities.</t>
  </si>
  <si>
    <t>m.</t>
  </si>
  <si>
    <t>Also include accumulated deferred taxes and investment tax credits.</t>
  </si>
  <si>
    <t>The current portion (due within one year) of long term debt should be reported in Notes Payable.</t>
  </si>
  <si>
    <t>n.</t>
  </si>
  <si>
    <t>advances from officers/stockholders.</t>
  </si>
  <si>
    <t>o.</t>
  </si>
  <si>
    <t>termed owner’s capital or partners’ capital accounts.  Corporations should include all</t>
  </si>
  <si>
    <t>shareholders’ equity accounts (common stock, preferred stock, paid-in capital and retained</t>
  </si>
  <si>
    <t>earnings, less cost of treasury stock, if any).  If reporting as a division or subsidiary, show net</t>
  </si>
  <si>
    <t>equity investment of the parent company in this division (the total of the control or capital account</t>
  </si>
  <si>
    <t>for the division or subsidiary) at the end of the year.</t>
  </si>
  <si>
    <t>p.</t>
  </si>
  <si>
    <t>Total Liabilities &amp; Net Worth</t>
  </si>
  <si>
    <t>Total Current Liabilities + Long Term Liabilities + Loans from Stockholders + Net Worth.</t>
  </si>
  <si>
    <t>This sum must be equal to Total Assets.</t>
  </si>
  <si>
    <t>Total Assets = Liabilities + Net Worth.</t>
  </si>
  <si>
    <t>INCOME STATEMENT</t>
  </si>
  <si>
    <t>Cost Of Goods Sold</t>
  </si>
  <si>
    <t>bought for resale. Also include incoming freight for all such material. Invoice cost of work</t>
  </si>
  <si>
    <t>subcontracted out, including heat treating, finishing, etc.</t>
  </si>
  <si>
    <t>engineering, machine set-up and/or programming, machine operators, and heat treating labor.</t>
  </si>
  <si>
    <t>Wages include straight time, overtime, and shift premiums.</t>
  </si>
  <si>
    <t>quality control labor. Wages and salaries for workers engaged in service operations such as</t>
  </si>
  <si>
    <t>material handling, tool room labor, project management, purchasing, shipping &amp; receiving, etc.</t>
  </si>
  <si>
    <t>and all other governmentally required benefits, as well as group medical insurance, group life</t>
  </si>
  <si>
    <t>insurance, pension and profit-sharing contributions, &amp; other benefits for manufacturing employees.</t>
  </si>
  <si>
    <t>patterns that are normally expensed. Also include depreciation and amortization of any such items</t>
  </si>
  <si>
    <t>that are capitalized by your company. Plus all factory supplies not found in or on the product,</t>
  </si>
  <si>
    <t>for example, oil, grease, cutting fluids, rags, gloves, clothing, etc.</t>
  </si>
  <si>
    <t>used in manufacturing.</t>
  </si>
  <si>
    <t>including equipment leases, business liability insurance, casualty insurance, real estate insurance,</t>
  </si>
  <si>
    <t>equipment insurance, property taxes, business licenses etc.</t>
  </si>
  <si>
    <t>proprietor, partners, the company President, General Manager, Executive Vice President,</t>
  </si>
  <si>
    <t>Chief Financial Officer, Director of Human Resources and any other executive and management</t>
  </si>
  <si>
    <t>personnel not reported in manufacturing cost, selling and marketing expense, or research and</t>
  </si>
  <si>
    <t>development and product design expense.</t>
  </si>
  <si>
    <t>NOTE: If the compensation of a proprietor or partners is taken out of net profit, please allocate a</t>
  </si>
  <si>
    <t>reasonable amount for the managerial services rendered and report that amount on this line.</t>
  </si>
  <si>
    <t>Adjust total expenses and net profit accordingly. If reporting as a Subchapter S corporation,</t>
  </si>
  <si>
    <t>please exclude the amount of owners’/officers’ compensation actually attributable to taxes on</t>
  </si>
  <si>
    <t>corporate earnings. Adjust total expenses, pre-tax profit, income tax, and after-tax profit accordingly.</t>
  </si>
  <si>
    <t>all general administrative employees, including accounting and other administrative personnel</t>
  </si>
  <si>
    <t>not specifically mentioned above.</t>
  </si>
  <si>
    <t>and/or other incentives, paid to sales people who directly contact customers, plus all or a</t>
  </si>
  <si>
    <t>proportionate amount of the compensation of sales managers whose prime responsibility is direct</t>
  </si>
  <si>
    <t>selling. Also include sales service and estimating employees, all sales and marketing executives,</t>
  </si>
  <si>
    <t>sales supervisors, sales administrative personnel, sales office personnel and personnel in</t>
  </si>
  <si>
    <t>market research, forecasting and product planning.</t>
  </si>
  <si>
    <t>Compensation, and all other governmentally required benefits, as well as group medical insurance,</t>
  </si>
  <si>
    <t>group life insurance, pension and profit-sharing contributions, vacation pay and other benefits for</t>
  </si>
  <si>
    <t>executive, management, office, clerical, sales and marketing employees.</t>
  </si>
  <si>
    <t>q.</t>
  </si>
  <si>
    <t>bad debt losses, professional services such as legal fees, sales and administrative office expense,</t>
  </si>
  <si>
    <t>depreciation of office equipment, telephone and any other operating expense not included above.</t>
  </si>
  <si>
    <t>Policy price adjustments for warranty problems should also be reported on this line.</t>
  </si>
  <si>
    <t>r.</t>
  </si>
  <si>
    <t>s.</t>
  </si>
  <si>
    <t>Operating Profit = Manufacturing Profit minus Total Selling &amp; Administrative Expenses.</t>
  </si>
  <si>
    <t>t.</t>
  </si>
  <si>
    <t>and from trade financing, royalty income, gain on disposal of capital assets, and other income not</t>
  </si>
  <si>
    <t>directly attributable to manufacturing operations.</t>
  </si>
  <si>
    <t>u.</t>
  </si>
  <si>
    <t>holders of corporate bonds.</t>
  </si>
  <si>
    <t>v.</t>
  </si>
  <si>
    <t>are not directly related to manufacturing operations.</t>
  </si>
  <si>
    <t>Extraordinary expense, such as a major plant reconfiguration, should also be included.</t>
  </si>
  <si>
    <t>w.</t>
  </si>
  <si>
    <t>Profit Before Taxes = Operating Profit + Other Income – Interest – Other Non-Operating Expenses</t>
  </si>
  <si>
    <t>x.</t>
  </si>
  <si>
    <t>reported above. Operating divisions whose results are consolidated for tax reporting purposes</t>
  </si>
  <si>
    <t>should estimate the taxes due for their operation, based on the federal corporation income tax</t>
  </si>
  <si>
    <t>formula for an individual company. Proprietorships and partnerships should estimate applicable</t>
  </si>
  <si>
    <t>taxes on a similar basis. Subchapter S corporations should estimate income taxes on a similar basis</t>
  </si>
  <si>
    <t>and adjust management compensation accordingly.</t>
  </si>
  <si>
    <t>y.</t>
  </si>
  <si>
    <t>Net Profit After Taxes = Profit Before Taxes minus Income Taxes.</t>
  </si>
  <si>
    <t>This item represents total net income before dividend payments.</t>
  </si>
  <si>
    <r>
      <t xml:space="preserve">Direct Labor — </t>
    </r>
    <r>
      <rPr>
        <sz val="11"/>
        <rFont val="Arial"/>
        <family val="2"/>
      </rPr>
      <t>machine operators &amp; workers, including engineering and NC/CNC programming,</t>
    </r>
  </si>
  <si>
    <r>
      <t>Indirect Labor —</t>
    </r>
    <r>
      <rPr>
        <sz val="11"/>
        <rFont val="Arial"/>
        <family val="2"/>
      </rPr>
      <t xml:space="preserve"> any labor that supports the production process such as project management,</t>
    </r>
  </si>
  <si>
    <r>
      <t xml:space="preserve">Plant Supervisors — </t>
    </r>
    <r>
      <rPr>
        <sz val="11"/>
        <rFont val="Arial"/>
        <family val="2"/>
      </rPr>
      <t xml:space="preserve"> directly oversee and supervise plant employees and floor activities.</t>
    </r>
  </si>
  <si>
    <r>
      <t xml:space="preserve">Sales — </t>
    </r>
    <r>
      <rPr>
        <sz val="11"/>
        <rFont val="Arial"/>
        <family val="2"/>
      </rPr>
      <t>all sales &amp; marketing employees, including sales people who directly contact customers,</t>
    </r>
  </si>
  <si>
    <r>
      <t>Executive, Administrative &amp; Clerical —</t>
    </r>
    <r>
      <rPr>
        <sz val="11"/>
        <rFont val="Arial"/>
        <family val="2"/>
      </rPr>
      <t xml:space="preserve"> Owners, President, General Manager, VPs, CFO,</t>
    </r>
  </si>
  <si>
    <r>
      <t>Other —</t>
    </r>
    <r>
      <rPr>
        <sz val="11"/>
        <rFont val="Arial"/>
        <family val="2"/>
      </rPr>
      <t xml:space="preserve"> employees not listed above</t>
    </r>
  </si>
  <si>
    <r>
      <t xml:space="preserve">Tools &amp; Dies — </t>
    </r>
    <r>
      <rPr>
        <sz val="11"/>
        <rFont val="Arial"/>
        <family val="2"/>
      </rPr>
      <t>Craft precision tools and tool holders that are used to cut, shape, and form metal</t>
    </r>
  </si>
  <si>
    <r>
      <t>Molds —</t>
    </r>
    <r>
      <rPr>
        <sz val="11"/>
        <rFont val="Arial"/>
        <family val="2"/>
      </rPr>
      <t xml:space="preserve"> The process of manufacturing by shaping liquid or pliable raw material using a rigid</t>
    </r>
  </si>
  <si>
    <r>
      <t xml:space="preserve">General Precision Machining (not Aerospace) — </t>
    </r>
    <r>
      <rPr>
        <sz val="11"/>
        <rFont val="Arial"/>
        <family val="2"/>
      </rPr>
      <t>a process where material is removed by a</t>
    </r>
  </si>
  <si>
    <r>
      <t xml:space="preserve">Aerospace Machining and Fabrication — </t>
    </r>
    <r>
      <rPr>
        <sz val="11"/>
        <rFont val="Arial"/>
        <family val="2"/>
      </rPr>
      <t>An aerospace manufacturer is a company involved in</t>
    </r>
  </si>
  <si>
    <r>
      <t xml:space="preserve">Special Machines — </t>
    </r>
    <r>
      <rPr>
        <sz val="11"/>
        <rFont val="Arial"/>
        <family val="2"/>
      </rPr>
      <t>By definition, special machinery is unique in its design and construction.</t>
    </r>
  </si>
  <si>
    <r>
      <t xml:space="preserve">Production Operations — </t>
    </r>
    <r>
      <rPr>
        <sz val="11"/>
        <rFont val="Arial"/>
        <family val="2"/>
      </rPr>
      <t>Process which transforms raw materials into final goods through a</t>
    </r>
  </si>
  <si>
    <r>
      <t>Sheet Metal Fabrication —</t>
    </r>
    <r>
      <rPr>
        <sz val="11"/>
        <rFont val="Arial"/>
        <family val="2"/>
      </rPr>
      <t xml:space="preserve"> Shape a piece of sheet metal into the desired part by cutting,</t>
    </r>
  </si>
  <si>
    <r>
      <t>Annual Addition To LIFO —</t>
    </r>
    <r>
      <rPr>
        <sz val="11"/>
        <rFont val="Arial"/>
        <family val="2"/>
      </rPr>
      <t xml:space="preserve"> The total amount ADDED to your LIFO reserve for the current year.</t>
    </r>
  </si>
  <si>
    <r>
      <t xml:space="preserve">Ending LIFO Reserve — </t>
    </r>
    <r>
      <rPr>
        <sz val="11"/>
        <rFont val="Arial"/>
        <family val="2"/>
      </rPr>
      <t>The LIFO reserve is an accounting term that measures the difference</t>
    </r>
  </si>
  <si>
    <r>
      <t xml:space="preserve">Cash &amp; Marketable Securities — </t>
    </r>
    <r>
      <rPr>
        <sz val="11"/>
        <rFont val="Arial"/>
        <family val="2"/>
      </rPr>
      <t>Cash, certificates of deposit, money-market funds,</t>
    </r>
  </si>
  <si>
    <r>
      <t xml:space="preserve">Accounts Receivable (trade) — </t>
    </r>
    <r>
      <rPr>
        <sz val="11"/>
        <rFont val="Arial"/>
        <family val="2"/>
      </rPr>
      <t>Amount due from customer sales, less reserve for bad debts.</t>
    </r>
  </si>
  <si>
    <r>
      <rPr>
        <b/>
        <sz val="11"/>
        <rFont val="Arial"/>
        <family val="2"/>
      </rPr>
      <t>Inventory —</t>
    </r>
    <r>
      <rPr>
        <sz val="11"/>
        <rFont val="Arial"/>
        <family val="2"/>
      </rPr>
      <t xml:space="preserve"> Raw materials, work-in-process and finished goods.</t>
    </r>
  </si>
  <si>
    <r>
      <t>Other Current Assets —</t>
    </r>
    <r>
      <rPr>
        <sz val="11"/>
        <rFont val="Arial"/>
        <family val="2"/>
      </rPr>
      <t xml:space="preserve"> Include pre-paid items, cash value of life insurance and all other</t>
    </r>
  </si>
  <si>
    <r>
      <t>Total Current Assets =</t>
    </r>
    <r>
      <rPr>
        <sz val="12"/>
        <rFont val="Arial Narrow"/>
        <family val="2"/>
      </rPr>
      <t xml:space="preserve"> Cash &amp; Securities + Accounts Receivable + Inventory + Other Current Assets.</t>
    </r>
  </si>
  <si>
    <r>
      <t xml:space="preserve">Fixed Assets (net of depreciation) — </t>
    </r>
    <r>
      <rPr>
        <sz val="11"/>
        <rFont val="Arial"/>
        <family val="2"/>
      </rPr>
      <t>Original Value of Fixed Assets including the original cost of</t>
    </r>
  </si>
  <si>
    <r>
      <t>Other Noncurrent Assets —</t>
    </r>
    <r>
      <rPr>
        <sz val="11"/>
        <rFont val="Arial"/>
        <family val="2"/>
      </rPr>
      <t xml:space="preserve"> Include long-term investments, patents, licenses, deposits,</t>
    </r>
  </si>
  <si>
    <r>
      <t xml:space="preserve">Accounts Payable (trade) — </t>
    </r>
    <r>
      <rPr>
        <sz val="11"/>
        <rFont val="Arial"/>
        <family val="2"/>
      </rPr>
      <t>Amounts due to suppliers and subcontractors within one year.</t>
    </r>
  </si>
  <si>
    <r>
      <t xml:space="preserve">Notes Payable — </t>
    </r>
    <r>
      <rPr>
        <sz val="11"/>
        <rFont val="Arial"/>
        <family val="2"/>
      </rPr>
      <t>Current maturities of long term debt; that portion of principal payments</t>
    </r>
  </si>
  <si>
    <r>
      <t>Other Current Liabilities—</t>
    </r>
    <r>
      <rPr>
        <sz val="11"/>
        <rFont val="Arial"/>
        <family val="2"/>
      </rPr>
      <t>Accrued expenses &amp; all other current liabilities not reported previously.</t>
    </r>
  </si>
  <si>
    <r>
      <t xml:space="preserve">Long Term Liabilities — </t>
    </r>
    <r>
      <rPr>
        <sz val="11"/>
        <rFont val="Arial"/>
        <family val="2"/>
      </rPr>
      <t>All liabilities not due within one year.</t>
    </r>
  </si>
  <si>
    <r>
      <t xml:space="preserve">Loans From Stockholders — </t>
    </r>
    <r>
      <rPr>
        <sz val="11"/>
        <rFont val="Arial"/>
        <family val="2"/>
      </rPr>
      <t>Amounts invested in the company as a result of loans and</t>
    </r>
  </si>
  <si>
    <r>
      <t xml:space="preserve">Net Worth — </t>
    </r>
    <r>
      <rPr>
        <sz val="11"/>
        <rFont val="Arial"/>
        <family val="2"/>
      </rPr>
      <t>Owners’ equity in the company. In unincorporated businesses, net worth may be</t>
    </r>
  </si>
  <si>
    <r>
      <t>Net Sales —</t>
    </r>
    <r>
      <rPr>
        <sz val="11"/>
        <rFont val="Arial"/>
        <family val="2"/>
      </rPr>
      <t xml:space="preserve"> Sales revenue for the year, after deductions for returns, cash discounts &amp; allowances.</t>
    </r>
  </si>
  <si>
    <r>
      <t>Direct Materials —</t>
    </r>
    <r>
      <rPr>
        <sz val="11"/>
        <rFont val="Arial"/>
        <family val="2"/>
      </rPr>
      <t xml:space="preserve"> All purchased materials used directly in production, including material</t>
    </r>
  </si>
  <si>
    <r>
      <t>Direct Labor —</t>
    </r>
    <r>
      <rPr>
        <sz val="11"/>
        <rFont val="Arial"/>
        <family val="2"/>
      </rPr>
      <t xml:space="preserve"> Wages for workers who are directly engaged in producing items for sale including</t>
    </r>
  </si>
  <si>
    <r>
      <t>All Other Factory Labor —</t>
    </r>
    <r>
      <rPr>
        <sz val="11"/>
        <rFont val="Arial"/>
        <family val="2"/>
      </rPr>
      <t xml:space="preserve"> Indirect labor, plant supervision, plant repairs &amp; maintenance labor,</t>
    </r>
  </si>
  <si>
    <r>
      <t>Plant Payroll Taxes, Group Insurance, Fringe Benefits—</t>
    </r>
    <r>
      <rPr>
        <sz val="11"/>
        <rFont val="Arial"/>
        <family val="2"/>
      </rPr>
      <t>Include FICA, Workers’ Compensation,</t>
    </r>
  </si>
  <si>
    <r>
      <t xml:space="preserve">Tools &amp; Shop Supplies — </t>
    </r>
    <r>
      <rPr>
        <sz val="11"/>
        <rFont val="Arial"/>
        <family val="2"/>
      </rPr>
      <t>Materials and maintenance costs of tools, dies, jigs, fixtures, and</t>
    </r>
  </si>
  <si>
    <r>
      <t xml:space="preserve">Utilities — </t>
    </r>
    <r>
      <rPr>
        <sz val="11"/>
        <rFont val="Arial"/>
        <family val="2"/>
      </rPr>
      <t>Cost of heat, light, power, water and other utilities related to manufacturing.</t>
    </r>
  </si>
  <si>
    <r>
      <t xml:space="preserve">Rent/Lease — </t>
    </r>
    <r>
      <rPr>
        <sz val="11"/>
        <rFont val="Arial"/>
        <family val="2"/>
      </rPr>
      <t>Building rent or ownership expenses, mortgage interest.</t>
    </r>
  </si>
  <si>
    <r>
      <t xml:space="preserve">Depreciation &amp; Amortization — </t>
    </r>
    <r>
      <rPr>
        <sz val="11"/>
        <rFont val="Arial"/>
        <family val="2"/>
      </rPr>
      <t>Depreciation charges for all buildings, equipment &amp; vehicles</t>
    </r>
  </si>
  <si>
    <r>
      <t xml:space="preserve">All Other Manufacturing Expenses — </t>
    </r>
    <r>
      <rPr>
        <sz val="11"/>
        <rFont val="Arial"/>
        <family val="2"/>
      </rPr>
      <t>All other manufacturing related costs not specified above</t>
    </r>
  </si>
  <si>
    <r>
      <t xml:space="preserve">Total Cost Of Goods Sold — </t>
    </r>
    <r>
      <rPr>
        <sz val="11"/>
        <rFont val="Arial"/>
        <family val="2"/>
      </rPr>
      <t>Total of all categories described in lines b. through j.</t>
    </r>
  </si>
  <si>
    <r>
      <t xml:space="preserve">Manufacturing Profit = </t>
    </r>
    <r>
      <rPr>
        <sz val="11"/>
        <rFont val="Arial"/>
        <family val="2"/>
      </rPr>
      <t>Net Sales minus Total Cost Of Goods Sold. Also called Gross Profit.</t>
    </r>
  </si>
  <si>
    <r>
      <t>Management Salaries &amp; Bonuses —</t>
    </r>
    <r>
      <rPr>
        <sz val="11"/>
        <rFont val="Arial"/>
        <family val="2"/>
      </rPr>
      <t xml:space="preserve"> Salaries, bonuses and other compensation paid to a</t>
    </r>
  </si>
  <si>
    <r>
      <t xml:space="preserve">General Administrative &amp; Clerical Salaries, Wages &amp; Bonuses — </t>
    </r>
    <r>
      <rPr>
        <sz val="11"/>
        <rFont val="Arial"/>
        <family val="2"/>
      </rPr>
      <t>Total compensation for</t>
    </r>
  </si>
  <si>
    <r>
      <t xml:space="preserve">Sales Salaries, Commissions &amp; Bonuses — </t>
    </r>
    <r>
      <rPr>
        <sz val="11"/>
        <rFont val="Arial"/>
        <family val="2"/>
      </rPr>
      <t>All compensation, salaries, commissions, bonuses</t>
    </r>
  </si>
  <si>
    <r>
      <t>S,G&amp;A Payroll Taxes, Group Insurance, Fringe Benefits —</t>
    </r>
    <r>
      <rPr>
        <sz val="11"/>
        <rFont val="Arial"/>
        <family val="2"/>
      </rPr>
      <t xml:space="preserve"> Include FICA, Workers’</t>
    </r>
  </si>
  <si>
    <r>
      <t xml:space="preserve">All Other Operating Expenses — </t>
    </r>
    <r>
      <rPr>
        <sz val="11"/>
        <rFont val="Arial"/>
        <family val="2"/>
      </rPr>
      <t>Include advertising &amp; promotion, travel &amp; entertainment,</t>
    </r>
  </si>
  <si>
    <r>
      <t xml:space="preserve">Total Selling &amp; Administrative Expenses = </t>
    </r>
    <r>
      <rPr>
        <sz val="11"/>
        <rFont val="Arial"/>
        <family val="2"/>
      </rPr>
      <t>Total of all categories described in lines m through q</t>
    </r>
  </si>
  <si>
    <r>
      <t>Other Income —</t>
    </r>
    <r>
      <rPr>
        <sz val="11"/>
        <rFont val="Arial"/>
        <family val="2"/>
      </rPr>
      <t xml:space="preserve"> All income generated from interest on short-term and long-term investments</t>
    </r>
  </si>
  <si>
    <r>
      <t>Interest Expense —</t>
    </r>
    <r>
      <rPr>
        <sz val="11"/>
        <rFont val="Arial"/>
        <family val="2"/>
      </rPr>
      <t xml:space="preserve"> All costs of borrowing money, such as interest paid to banks or to</t>
    </r>
  </si>
  <si>
    <r>
      <t xml:space="preserve">Other Non-Operating Expenses — </t>
    </r>
    <r>
      <rPr>
        <sz val="11"/>
        <rFont val="Arial"/>
        <family val="2"/>
      </rPr>
      <t>Costs, such as loss on disposal of capital assets, which</t>
    </r>
  </si>
  <si>
    <r>
      <t>Income Taxes (Local, State, &amp; Federal) —</t>
    </r>
    <r>
      <rPr>
        <sz val="11"/>
        <rFont val="Arial"/>
        <family val="2"/>
      </rPr>
      <t xml:space="preserve"> Income taxes applicable to Profit Before Taxes</t>
    </r>
  </si>
  <si>
    <r>
      <t>If you would like a</t>
    </r>
    <r>
      <rPr>
        <b/>
        <sz val="10"/>
        <rFont val="Arial"/>
        <family val="2"/>
      </rPr>
      <t xml:space="preserve"> FREE </t>
    </r>
    <r>
      <rPr>
        <sz val="10"/>
        <rFont val="Arial"/>
        <family val="2"/>
      </rPr>
      <t xml:space="preserve">individual </t>
    </r>
    <r>
      <rPr>
        <b/>
        <sz val="10"/>
        <rFont val="Arial"/>
        <family val="2"/>
      </rPr>
      <t>Financial Performance Dashboard</t>
    </r>
    <r>
      <rPr>
        <sz val="10"/>
        <rFont val="Arial"/>
        <family val="2"/>
      </rPr>
      <t xml:space="preserve"> which compares your company's</t>
    </r>
  </si>
  <si>
    <r>
      <t>Number of employees by function</t>
    </r>
    <r>
      <rPr>
        <sz val="10"/>
        <rFont val="Arial"/>
        <family val="2"/>
      </rPr>
      <t xml:space="preserve"> — full-time equivalents</t>
    </r>
  </si>
  <si>
    <t>Count FTEs based on time spent in each function using 2080 annual work hours.</t>
  </si>
  <si>
    <t>Report fractional FTEs — e.g. 20 hrs. per week all year = 0.5 FTE</t>
  </si>
  <si>
    <t>— operators &amp; workers directly engaged in producing items</t>
  </si>
  <si>
    <t>— project mgmt., purchasing, shipping &amp; receiving, etc.</t>
  </si>
  <si>
    <t>— include all sales &amp; marketing employees</t>
  </si>
  <si>
    <t>— trade receivables, less allowance for bad debts</t>
  </si>
  <si>
    <t>— including raw materials, work in process and finished goods</t>
  </si>
  <si>
    <t>— net of depreciation</t>
  </si>
  <si>
    <t>— cash value of life insurance, loans to officers, goodwill, long-term investments</t>
  </si>
  <si>
    <t>= Total Current Assets + NET Fixed Assets + Other Noncurrent Assets</t>
  </si>
  <si>
    <t>— trade</t>
  </si>
  <si>
    <t>Notes Payable, Line of Credit, Current Portion of Long-term Debt</t>
  </si>
  <si>
    <t>— due within one year</t>
  </si>
  <si>
    <t>— including accruals, taxes, benefits, etc.</t>
  </si>
  <si>
    <r>
      <t>Balance Sheet</t>
    </r>
    <r>
      <rPr>
        <sz val="10"/>
        <rFont val="Arial"/>
        <family val="2"/>
      </rPr>
      <t xml:space="preserve"> — end of fiscal year</t>
    </r>
  </si>
  <si>
    <t>— Cost of materials used directly in production. Invoice cost of work subcontracted</t>
  </si>
  <si>
    <t>— All labor, including engineering and NC/CNC programming, directly related to production</t>
  </si>
  <si>
    <r>
      <t>Plant Payroll Taxes, Group Insurance, Benefits—</t>
    </r>
    <r>
      <rPr>
        <sz val="10"/>
        <rFont val="Arial Narrow"/>
        <family val="2"/>
      </rPr>
      <t>govt. required benefits, med. Ins., 401(k), vacation</t>
    </r>
  </si>
  <si>
    <t>— Cost of tools and supplies consumed in production, including depreciation</t>
  </si>
  <si>
    <t>— Buildings, excluding insurance &amp; property taxes</t>
  </si>
  <si>
    <t>— Heat, light, power, water</t>
  </si>
  <si>
    <t>— Building &amp; equipment used in manufacturing</t>
  </si>
  <si>
    <t>All Other Factory Costs</t>
  </si>
  <si>
    <t>— all other manufacturing related costs not specified above</t>
  </si>
  <si>
    <t>— Gross Sales less returns, cash discounts, allowances &amp; sales taxes</t>
  </si>
  <si>
    <t>= Net Sales - Total Cost Of Goods Sold</t>
  </si>
  <si>
    <r>
      <t>All Other Factory Labor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>——</t>
    </r>
  </si>
  <si>
    <t xml:space="preserve"> Indirect labor, supervision, purchasing, scheduling, etc.</t>
  </si>
  <si>
    <t>— Officers/Owners, Genl. Mgr., CFO, other executive salaries &amp; bonuses</t>
  </si>
  <si>
    <r>
      <t xml:space="preserve">General Office &amp; Management Salaries, Wages &amp; Bonuses — </t>
    </r>
    <r>
      <rPr>
        <sz val="10"/>
        <rFont val="Arial Narrow"/>
        <family val="2"/>
      </rPr>
      <t>Office &amp; clerical staff</t>
    </r>
  </si>
  <si>
    <r>
      <t>S,G&amp;A Payroll Taxes, Group Insurance, Benefits—</t>
    </r>
    <r>
      <rPr>
        <sz val="10"/>
        <rFont val="Arial Narrow"/>
        <family val="2"/>
      </rPr>
      <t>govt. required benefits, med. Ins., 401(k), etc.</t>
    </r>
  </si>
  <si>
    <t>= Manufacturing Profit - Selling &amp; Administrative Expenses</t>
  </si>
  <si>
    <r>
      <t xml:space="preserve">Other Income </t>
    </r>
    <r>
      <rPr>
        <sz val="10"/>
        <rFont val="Arial Narrow"/>
        <family val="2"/>
      </rPr>
      <t>—</t>
    </r>
  </si>
  <si>
    <t>= Operating Profit+Other Income-Interest Expense-Other Non-Operating Exp.</t>
  </si>
  <si>
    <t>— Local, State, Federal taxes</t>
  </si>
  <si>
    <r>
      <t>Sales Salaries, Commissions &amp; Bonuses</t>
    </r>
    <r>
      <rPr>
        <sz val="10"/>
        <rFont val="Arial Narrow"/>
        <family val="2"/>
      </rPr>
      <t xml:space="preserve"> — sales employees, sales reps, agents compensation</t>
    </r>
  </si>
  <si>
    <t>— Interest income, gain on sale of assets, etc.</t>
  </si>
  <si>
    <t>— including extraordinary expenses</t>
  </si>
  <si>
    <t>— Excluding mortgage interest</t>
  </si>
  <si>
    <r>
      <t>Interest Expense</t>
    </r>
    <r>
      <rPr>
        <sz val="10"/>
        <rFont val="Arial Narrow"/>
        <family val="2"/>
      </rPr>
      <t xml:space="preserve"> —</t>
    </r>
  </si>
  <si>
    <t>Comp Contact</t>
  </si>
  <si>
    <t>Comp Email</t>
  </si>
  <si>
    <t>EC Contact</t>
  </si>
  <si>
    <t>EC Email</t>
  </si>
  <si>
    <t>OCEC Contact</t>
  </si>
  <si>
    <t>OCEC Email</t>
  </si>
  <si>
    <t>Zip</t>
  </si>
  <si>
    <t>b</t>
  </si>
  <si>
    <t>&lt;= End of Operating Costs Survey</t>
  </si>
  <si>
    <t>Exec Comp Survey</t>
  </si>
  <si>
    <t>% of Sales</t>
  </si>
  <si>
    <t># Employees</t>
  </si>
  <si>
    <t>Thank you for participating!</t>
  </si>
  <si>
    <t>Please return this questionnaire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</si>
</sst>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mmmm\ d\,\ yyyy"/>
    <numFmt numFmtId="167" formatCode="00000"/>
    <numFmt numFmtId="168" formatCode="[&lt;=9999999]###\-####;\(###\)\ ###\-####"/>
  </numFmts>
  <fonts count="3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/>
      <sz val="10"/>
      <name val="Arial"/>
      <family val="2"/>
    </font>
    <font>
      <b/>
      <sz val="14"/>
      <name val="Arial Black"/>
      <family val="2"/>
    </font>
    <font>
      <u/>
      <sz val="10"/>
      <color indexed="12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8"/>
      <name val="Arial Narrow"/>
      <family val="2"/>
    </font>
    <font>
      <b/>
      <sz val="11"/>
      <name val="Arial Black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sz val="11"/>
      <name val="Arial Black"/>
      <family val="2"/>
    </font>
    <font>
      <sz val="10"/>
      <color indexed="8"/>
      <name val="MS Sans Serif"/>
      <family val="2"/>
    </font>
    <font>
      <sz val="10"/>
      <color theme="0"/>
      <name val="Arial"/>
      <family val="2"/>
    </font>
    <font>
      <sz val="14"/>
      <color theme="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1" fillId="0" borderId="0"/>
  </cellStyleXfs>
  <cellXfs count="185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1" applyBorder="1" applyAlignment="1" applyProtection="1">
      <alignment horizontal="center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49" fontId="0" fillId="0" borderId="0" xfId="0" applyNumberFormat="1"/>
    <xf numFmtId="3" fontId="5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0" fillId="2" borderId="0" xfId="0" applyFill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3" fontId="3" fillId="0" borderId="0" xfId="0" applyNumberFormat="1" applyFont="1"/>
    <xf numFmtId="0" fontId="0" fillId="0" borderId="2" xfId="0" applyBorder="1"/>
    <xf numFmtId="0" fontId="8" fillId="0" borderId="0" xfId="1" applyFill="1" applyBorder="1" applyAlignment="1" applyProtection="1"/>
    <xf numFmtId="0" fontId="1" fillId="0" borderId="0" xfId="1" applyFont="1" applyBorder="1" applyAlignment="1" applyProtection="1">
      <alignment horizontal="left"/>
    </xf>
    <xf numFmtId="0" fontId="16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23" fillId="0" borderId="0" xfId="0" applyFont="1"/>
    <xf numFmtId="164" fontId="23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1" fillId="0" borderId="0" xfId="0" applyFont="1"/>
    <xf numFmtId="167" fontId="23" fillId="0" borderId="0" xfId="0" applyNumberFormat="1" applyFont="1"/>
    <xf numFmtId="3" fontId="23" fillId="0" borderId="0" xfId="0" applyNumberFormat="1" applyFont="1"/>
    <xf numFmtId="3" fontId="2" fillId="0" borderId="0" xfId="0" applyNumberFormat="1" applyFont="1"/>
    <xf numFmtId="0" fontId="0" fillId="0" borderId="0" xfId="0" applyProtection="1">
      <protection locked="0"/>
    </xf>
    <xf numFmtId="165" fontId="23" fillId="0" borderId="0" xfId="0" quotePrefix="1" applyNumberFormat="1" applyFont="1"/>
    <xf numFmtId="0" fontId="23" fillId="0" borderId="0" xfId="4" quotePrefix="1" applyFont="1"/>
    <xf numFmtId="3" fontId="23" fillId="0" borderId="0" xfId="4" quotePrefix="1" applyNumberFormat="1" applyFont="1"/>
    <xf numFmtId="3" fontId="2" fillId="0" borderId="0" xfId="4" quotePrefix="1" applyNumberFormat="1" applyFont="1"/>
    <xf numFmtId="49" fontId="0" fillId="0" borderId="0" xfId="0" applyNumberFormat="1" applyAlignment="1">
      <alignment horizontal="right"/>
    </xf>
    <xf numFmtId="0" fontId="9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right"/>
    </xf>
    <xf numFmtId="0" fontId="15" fillId="0" borderId="0" xfId="0" applyFont="1"/>
    <xf numFmtId="49" fontId="3" fillId="0" borderId="0" xfId="0" applyNumberFormat="1" applyFont="1"/>
    <xf numFmtId="164" fontId="17" fillId="0" borderId="0" xfId="0" applyNumberFormat="1" applyFont="1"/>
    <xf numFmtId="0" fontId="0" fillId="0" borderId="3" xfId="0" applyBorder="1"/>
    <xf numFmtId="0" fontId="0" fillId="0" borderId="4" xfId="0" applyBorder="1"/>
    <xf numFmtId="0" fontId="6" fillId="0" borderId="3" xfId="0" applyFont="1" applyBorder="1"/>
    <xf numFmtId="0" fontId="6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3" xfId="0" applyFont="1" applyBorder="1"/>
    <xf numFmtId="0" fontId="3" fillId="0" borderId="4" xfId="0" applyFont="1" applyBorder="1"/>
    <xf numFmtId="0" fontId="6" fillId="0" borderId="7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7" xfId="0" applyFont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0" fontId="3" fillId="2" borderId="0" xfId="0" applyFont="1" applyFill="1"/>
    <xf numFmtId="0" fontId="5" fillId="3" borderId="0" xfId="0" applyFont="1" applyFill="1"/>
    <xf numFmtId="0" fontId="0" fillId="0" borderId="0" xfId="0" applyAlignment="1">
      <alignment vertical="center"/>
    </xf>
    <xf numFmtId="0" fontId="0" fillId="0" borderId="2" xfId="0" applyBorder="1" applyAlignment="1">
      <alignment horizontal="right"/>
    </xf>
    <xf numFmtId="0" fontId="25" fillId="0" borderId="0" xfId="0" applyFont="1"/>
    <xf numFmtId="0" fontId="0" fillId="0" borderId="8" xfId="0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21" fillId="2" borderId="0" xfId="0" applyFont="1" applyFill="1" applyAlignment="1">
      <alignment vertical="center"/>
    </xf>
    <xf numFmtId="0" fontId="20" fillId="2" borderId="0" xfId="0" applyFont="1" applyFill="1"/>
    <xf numFmtId="0" fontId="2" fillId="2" borderId="0" xfId="0" applyFont="1" applyFill="1"/>
    <xf numFmtId="49" fontId="3" fillId="3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6" fillId="2" borderId="0" xfId="0" applyFont="1" applyFill="1" applyAlignment="1">
      <alignment vertical="center"/>
    </xf>
    <xf numFmtId="0" fontId="21" fillId="2" borderId="0" xfId="0" applyFont="1" applyFill="1"/>
    <xf numFmtId="0" fontId="7" fillId="0" borderId="0" xfId="0" applyFont="1"/>
    <xf numFmtId="0" fontId="11" fillId="0" borderId="0" xfId="0" applyFont="1"/>
    <xf numFmtId="0" fontId="21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22" fillId="0" borderId="0" xfId="0" applyFont="1"/>
    <xf numFmtId="0" fontId="22" fillId="2" borderId="0" xfId="0" applyFont="1" applyFill="1"/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3" borderId="0" xfId="0" applyFill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164" fontId="0" fillId="5" borderId="9" xfId="0" applyNumberFormat="1" applyFill="1" applyBorder="1" applyProtection="1">
      <protection locked="0"/>
    </xf>
    <xf numFmtId="0" fontId="29" fillId="0" borderId="0" xfId="3" applyFont="1" applyProtection="1">
      <protection hidden="1"/>
    </xf>
    <xf numFmtId="0" fontId="0" fillId="5" borderId="9" xfId="0" applyFill="1" applyBorder="1" applyProtection="1">
      <protection locked="0"/>
    </xf>
    <xf numFmtId="3" fontId="0" fillId="5" borderId="9" xfId="0" applyNumberFormat="1" applyFill="1" applyBorder="1" applyProtection="1">
      <protection locked="0"/>
    </xf>
    <xf numFmtId="3" fontId="5" fillId="5" borderId="9" xfId="0" applyNumberFormat="1" applyFont="1" applyFill="1" applyBorder="1" applyProtection="1">
      <protection locked="0"/>
    </xf>
    <xf numFmtId="0" fontId="15" fillId="0" borderId="0" xfId="0" quotePrefix="1" applyFont="1"/>
    <xf numFmtId="0" fontId="15" fillId="0" borderId="7" xfId="0" applyFont="1" applyBorder="1"/>
    <xf numFmtId="0" fontId="0" fillId="6" borderId="0" xfId="0" applyFill="1"/>
    <xf numFmtId="0" fontId="2" fillId="6" borderId="0" xfId="0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30" fillId="0" borderId="10" xfId="0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0" fontId="32" fillId="6" borderId="0" xfId="0" applyFont="1" applyFill="1"/>
    <xf numFmtId="0" fontId="33" fillId="6" borderId="0" xfId="0" applyFont="1" applyFill="1" applyAlignment="1">
      <alignment horizontal="center"/>
    </xf>
    <xf numFmtId="0" fontId="33" fillId="6" borderId="0" xfId="0" applyFont="1" applyFill="1" applyAlignment="1">
      <alignment horizontal="left"/>
    </xf>
    <xf numFmtId="0" fontId="32" fillId="6" borderId="0" xfId="0" applyFont="1" applyFill="1" applyAlignment="1">
      <alignment horizontal="left"/>
    </xf>
    <xf numFmtId="0" fontId="0" fillId="7" borderId="12" xfId="0" applyFill="1" applyBorder="1"/>
    <xf numFmtId="0" fontId="0" fillId="7" borderId="13" xfId="0" applyFill="1" applyBorder="1"/>
    <xf numFmtId="0" fontId="3" fillId="7" borderId="13" xfId="0" applyFont="1" applyFill="1" applyBorder="1" applyAlignment="1">
      <alignment horizontal="center"/>
    </xf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5" fillId="7" borderId="16" xfId="0" applyFont="1" applyFill="1" applyBorder="1" applyAlignment="1">
      <alignment horizontal="center"/>
    </xf>
    <xf numFmtId="0" fontId="0" fillId="7" borderId="17" xfId="0" applyFill="1" applyBorder="1"/>
    <xf numFmtId="49" fontId="0" fillId="6" borderId="0" xfId="0" applyNumberFormat="1" applyFill="1"/>
    <xf numFmtId="0" fontId="2" fillId="6" borderId="0" xfId="0" applyFont="1" applyFill="1" applyAlignment="1">
      <alignment horizontal="left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/>
    </xf>
    <xf numFmtId="0" fontId="3" fillId="6" borderId="0" xfId="0" applyFont="1" applyFill="1"/>
    <xf numFmtId="0" fontId="33" fillId="6" borderId="0" xfId="0" applyFont="1" applyFill="1" applyAlignment="1">
      <alignment horizontal="left" vertical="center"/>
    </xf>
    <xf numFmtId="49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0" fillId="7" borderId="0" xfId="0" applyFill="1"/>
    <xf numFmtId="3" fontId="0" fillId="5" borderId="9" xfId="0" applyNumberFormat="1" applyFill="1" applyBorder="1" applyAlignment="1" applyProtection="1">
      <alignment vertical="center"/>
      <protection locked="0"/>
    </xf>
    <xf numFmtId="0" fontId="9" fillId="6" borderId="0" xfId="0" applyFont="1" applyFill="1" applyAlignment="1">
      <alignment horizontal="left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18" fillId="6" borderId="0" xfId="0" applyFont="1" applyFill="1" applyAlignment="1">
      <alignment horizontal="left" vertical="center"/>
    </xf>
    <xf numFmtId="0" fontId="4" fillId="8" borderId="0" xfId="0" applyFont="1" applyFill="1"/>
    <xf numFmtId="0" fontId="0" fillId="8" borderId="0" xfId="0" applyFill="1"/>
    <xf numFmtId="0" fontId="0" fillId="8" borderId="0" xfId="0" applyFill="1" applyAlignment="1">
      <alignment horizontal="right"/>
    </xf>
    <xf numFmtId="3" fontId="0" fillId="8" borderId="1" xfId="0" applyNumberFormat="1" applyFill="1" applyBorder="1"/>
    <xf numFmtId="0" fontId="5" fillId="0" borderId="0" xfId="0" quotePrefix="1" applyFont="1"/>
    <xf numFmtId="0" fontId="3" fillId="8" borderId="0" xfId="0" applyFont="1" applyFill="1"/>
    <xf numFmtId="3" fontId="0" fillId="8" borderId="0" xfId="0" applyNumberFormat="1" applyFill="1"/>
    <xf numFmtId="0" fontId="6" fillId="8" borderId="0" xfId="0" applyFont="1" applyFill="1"/>
    <xf numFmtId="0" fontId="3" fillId="8" borderId="0" xfId="0" applyFont="1" applyFill="1" applyAlignment="1">
      <alignment horizontal="right"/>
    </xf>
    <xf numFmtId="3" fontId="3" fillId="8" borderId="0" xfId="0" applyNumberFormat="1" applyFont="1" applyFill="1"/>
    <xf numFmtId="0" fontId="15" fillId="8" borderId="0" xfId="0" quotePrefix="1" applyFont="1" applyFill="1"/>
    <xf numFmtId="0" fontId="5" fillId="0" borderId="0" xfId="0" applyFont="1" applyProtection="1">
      <protection locked="0"/>
    </xf>
    <xf numFmtId="0" fontId="3" fillId="4" borderId="18" xfId="5" applyFont="1" applyFill="1" applyBorder="1" applyAlignment="1">
      <alignment horizontal="center"/>
    </xf>
    <xf numFmtId="0" fontId="14" fillId="4" borderId="18" xfId="5" applyFont="1" applyFill="1" applyBorder="1" applyAlignment="1">
      <alignment horizontal="center"/>
    </xf>
    <xf numFmtId="167" fontId="14" fillId="4" borderId="18" xfId="5" applyNumberFormat="1" applyFont="1" applyFill="1" applyBorder="1" applyAlignment="1">
      <alignment horizontal="left"/>
    </xf>
    <xf numFmtId="1" fontId="5" fillId="0" borderId="0" xfId="0" applyNumberFormat="1" applyFont="1"/>
    <xf numFmtId="167" fontId="5" fillId="0" borderId="0" xfId="0" applyNumberFormat="1" applyFont="1"/>
    <xf numFmtId="168" fontId="15" fillId="0" borderId="0" xfId="0" applyNumberFormat="1" applyFont="1"/>
    <xf numFmtId="0" fontId="14" fillId="4" borderId="18" xfId="5" applyFont="1" applyFill="1" applyBorder="1"/>
    <xf numFmtId="0" fontId="23" fillId="9" borderId="0" xfId="0" applyFont="1" applyFill="1"/>
    <xf numFmtId="164" fontId="23" fillId="9" borderId="0" xfId="0" applyNumberFormat="1" applyFont="1" applyFill="1"/>
    <xf numFmtId="3" fontId="23" fillId="9" borderId="0" xfId="0" applyNumberFormat="1" applyFont="1" applyFill="1"/>
    <xf numFmtId="3" fontId="24" fillId="9" borderId="0" xfId="0" applyNumberFormat="1" applyFont="1" applyFill="1"/>
    <xf numFmtId="3" fontId="2" fillId="9" borderId="0" xfId="0" applyNumberFormat="1" applyFont="1" applyFill="1"/>
    <xf numFmtId="164" fontId="23" fillId="0" borderId="0" xfId="0" quotePrefix="1" applyNumberFormat="1" applyFont="1"/>
    <xf numFmtId="0" fontId="15" fillId="0" borderId="0" xfId="0" applyFont="1" applyAlignment="1">
      <alignment vertical="center"/>
    </xf>
    <xf numFmtId="1" fontId="33" fillId="6" borderId="0" xfId="0" applyNumberFormat="1" applyFont="1" applyFill="1"/>
    <xf numFmtId="0" fontId="32" fillId="6" borderId="0" xfId="0" applyFont="1" applyFill="1"/>
    <xf numFmtId="0" fontId="5" fillId="5" borderId="19" xfId="0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20" xfId="0" applyFill="1" applyBorder="1" applyAlignment="1" applyProtection="1">
      <alignment vertical="center"/>
      <protection locked="0"/>
    </xf>
    <xf numFmtId="168" fontId="0" fillId="5" borderId="19" xfId="0" applyNumberFormat="1" applyFill="1" applyBorder="1" applyAlignment="1" applyProtection="1">
      <alignment horizontal="left" vertical="center"/>
      <protection locked="0"/>
    </xf>
    <xf numFmtId="168" fontId="0" fillId="5" borderId="1" xfId="0" applyNumberFormat="1" applyFill="1" applyBorder="1" applyAlignment="1" applyProtection="1">
      <alignment horizontal="left" vertical="center"/>
      <protection locked="0"/>
    </xf>
    <xf numFmtId="168" fontId="0" fillId="5" borderId="20" xfId="0" applyNumberFormat="1" applyFill="1" applyBorder="1" applyAlignment="1" applyProtection="1">
      <alignment horizontal="left" vertical="center"/>
      <protection locked="0"/>
    </xf>
    <xf numFmtId="0" fontId="8" fillId="0" borderId="0" xfId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67" fontId="0" fillId="5" borderId="19" xfId="0" applyNumberFormat="1" applyFill="1" applyBorder="1" applyAlignment="1" applyProtection="1">
      <alignment horizontal="left" vertical="center"/>
      <protection locked="0"/>
    </xf>
    <xf numFmtId="167" fontId="0" fillId="5" borderId="1" xfId="0" applyNumberFormat="1" applyFill="1" applyBorder="1" applyAlignment="1" applyProtection="1">
      <alignment horizontal="left" vertical="center"/>
      <protection locked="0"/>
    </xf>
    <xf numFmtId="167" fontId="0" fillId="5" borderId="20" xfId="0" applyNumberFormat="1" applyFill="1" applyBorder="1" applyAlignment="1" applyProtection="1">
      <alignment horizontal="left" vertical="center"/>
      <protection locked="0"/>
    </xf>
    <xf numFmtId="0" fontId="8" fillId="0" borderId="0" xfId="1" applyAlignment="1" applyProtection="1">
      <alignment horizontal="left"/>
      <protection locked="0"/>
    </xf>
  </cellXfs>
  <cellStyles count="6">
    <cellStyle name="Hyperlink" xfId="1" builtinId="8"/>
    <cellStyle name="Hyperlink 2" xfId="2" xr:uid="{00000000-0005-0000-0000-000001000000}"/>
    <cellStyle name="Normal" xfId="0" builtinId="0"/>
    <cellStyle name="Normal 184" xfId="3" xr:uid="{00000000-0005-0000-0000-000003000000}"/>
    <cellStyle name="Normal 2" xfId="4" xr:uid="{00000000-0005-0000-0000-000004000000}"/>
    <cellStyle name="Normal_Sheet3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D7E9F2"/>
      <rgbColor rgb="003366FF"/>
      <rgbColor rgb="0033CCCC"/>
      <rgbColor rgb="0099CC00"/>
      <rgbColor rgb="009BBFDB"/>
      <rgbColor rgb="005A82A6"/>
      <rgbColor rgb="0033495F"/>
      <rgbColor rgb="00666699"/>
      <rgbColor rgb="00969696"/>
      <rgbColor rgb="00003366"/>
      <rgbColor rgb="00339966"/>
      <rgbColor rgb="00003300"/>
      <rgbColor rgb="00333300"/>
      <rgbColor rgb="001D396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8</xdr:col>
      <xdr:colOff>104775</xdr:colOff>
      <xdr:row>3</xdr:row>
      <xdr:rowOff>57150</xdr:rowOff>
    </xdr:to>
    <xdr:pic>
      <xdr:nvPicPr>
        <xdr:cNvPr id="1193" name="Picture 11" descr="NTMA-main">
          <a:extLst>
            <a:ext uri="{FF2B5EF4-FFF2-40B4-BE49-F238E27FC236}">
              <a16:creationId xmlns:a16="http://schemas.microsoft.com/office/drawing/2014/main" id="{8B126EA3-169A-3F2F-DACC-17C8FFAE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300"/>
          <a:ext cx="1628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n@mackayresearchgroup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aylor@mackayresearchgroup.com" TargetMode="External"/><Relationship Id="rId1" Type="http://schemas.openxmlformats.org/officeDocument/2006/relationships/hyperlink" Target="mailto:surveys@mackayresearchgroup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urveys@mackayresearchgroup.com" TargetMode="External"/><Relationship Id="rId4" Type="http://schemas.openxmlformats.org/officeDocument/2006/relationships/hyperlink" Target="mailto:taylor@mackayresearchgroup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7"/>
  <sheetViews>
    <sheetView showGridLines="0" showRowColHeaders="0" tabSelected="1" zoomScaleNormal="100" zoomScaleSheetLayoutView="90" workbookViewId="0">
      <selection activeCell="P21" sqref="P21:T21"/>
    </sheetView>
  </sheetViews>
  <sheetFormatPr defaultColWidth="0" defaultRowHeight="12.75" x14ac:dyDescent="0.2"/>
  <cols>
    <col min="1" max="1" width="4.7109375" customWidth="1"/>
    <col min="2" max="15" width="2.7109375" customWidth="1"/>
    <col min="16" max="16" width="15.7109375" customWidth="1"/>
    <col min="17" max="17" width="2.7109375" customWidth="1"/>
    <col min="18" max="18" width="15.7109375" customWidth="1"/>
    <col min="19" max="19" width="2.7109375" customWidth="1"/>
    <col min="20" max="20" width="20.7109375" customWidth="1"/>
    <col min="21" max="21" width="2.7109375" customWidth="1"/>
    <col min="22" max="22" width="2.7109375" hidden="1" customWidth="1"/>
    <col min="23" max="23" width="5.7109375" hidden="1" customWidth="1"/>
    <col min="24" max="26" width="9.140625" hidden="1" customWidth="1"/>
    <col min="27" max="16384" width="9.140625" hidden="1"/>
  </cols>
  <sheetData>
    <row r="1" spans="1:24" ht="18.75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6" t="s">
        <v>12</v>
      </c>
      <c r="U1" s="111"/>
    </row>
    <row r="2" spans="1:24" ht="19.5" thickBot="1" x14ac:dyDescent="0.3">
      <c r="A2" s="111"/>
      <c r="B2" s="111"/>
      <c r="C2" s="11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7">
        <v>45443</v>
      </c>
      <c r="U2" s="111"/>
    </row>
    <row r="3" spans="1:24" ht="18" customHeight="1" x14ac:dyDescent="0.45">
      <c r="A3" s="111"/>
      <c r="B3" s="111"/>
      <c r="C3" s="112"/>
      <c r="D3" s="111"/>
      <c r="E3" s="111"/>
      <c r="F3" s="111"/>
      <c r="G3" s="111"/>
      <c r="H3" s="111"/>
      <c r="I3" s="111"/>
      <c r="J3" s="111"/>
      <c r="K3" s="118"/>
      <c r="L3" s="118"/>
      <c r="M3" s="118"/>
      <c r="N3" s="118"/>
      <c r="O3" s="118"/>
      <c r="P3" s="119" t="s">
        <v>62</v>
      </c>
      <c r="Q3" s="111"/>
      <c r="R3" s="111"/>
      <c r="S3" s="113"/>
      <c r="T3" s="111"/>
      <c r="U3" s="111"/>
    </row>
    <row r="4" spans="1:24" ht="18" customHeight="1" x14ac:dyDescent="0.45">
      <c r="A4" s="111"/>
      <c r="B4" s="112"/>
      <c r="C4" s="112"/>
      <c r="D4" s="111"/>
      <c r="E4" s="111"/>
      <c r="F4" s="111"/>
      <c r="G4" s="111"/>
      <c r="H4" s="111"/>
      <c r="I4" s="111"/>
      <c r="J4" s="111"/>
      <c r="K4" s="171">
        <v>2024</v>
      </c>
      <c r="L4" s="172"/>
      <c r="M4" s="172"/>
      <c r="N4" s="172"/>
      <c r="O4" s="120" t="s">
        <v>290</v>
      </c>
      <c r="P4" s="121"/>
      <c r="Q4" s="111"/>
      <c r="R4" s="114"/>
      <c r="S4" s="111"/>
      <c r="T4" s="111"/>
      <c r="U4" s="111"/>
    </row>
    <row r="5" spans="1:24" ht="4.9000000000000004" customHeight="1" x14ac:dyDescent="0.4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5"/>
      <c r="Q5" s="111"/>
      <c r="R5" s="111"/>
      <c r="S5" s="111"/>
      <c r="T5" s="111"/>
      <c r="U5" s="111"/>
      <c r="W5" s="2"/>
    </row>
    <row r="6" spans="1:24" ht="6" customHeight="1" thickBot="1" x14ac:dyDescent="0.3">
      <c r="P6" s="16"/>
      <c r="W6" s="2"/>
    </row>
    <row r="7" spans="1:24" ht="12.75" customHeight="1" x14ac:dyDescent="0.2"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P7" s="124" t="s">
        <v>52</v>
      </c>
      <c r="Q7" s="123"/>
      <c r="R7" s="123"/>
      <c r="S7" s="123"/>
      <c r="T7" s="125"/>
    </row>
    <row r="8" spans="1:24" ht="12.75" customHeight="1" thickBot="1" x14ac:dyDescent="0.25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P8" s="128" t="s">
        <v>13</v>
      </c>
      <c r="Q8" s="127"/>
      <c r="R8" s="127"/>
      <c r="S8" s="127"/>
      <c r="T8" s="129"/>
      <c r="X8" s="2"/>
    </row>
    <row r="9" spans="1:24" ht="12.75" customHeight="1" x14ac:dyDescent="0.2">
      <c r="B9" s="5"/>
      <c r="C9" s="3"/>
      <c r="N9" s="4"/>
      <c r="O9" s="4"/>
      <c r="P9" s="4"/>
      <c r="Q9" s="4"/>
      <c r="R9" s="4"/>
    </row>
    <row r="10" spans="1:24" ht="12.75" customHeight="1" x14ac:dyDescent="0.2">
      <c r="B10" s="1" t="s">
        <v>14</v>
      </c>
      <c r="C10" s="3"/>
      <c r="N10" s="4"/>
      <c r="O10" s="4"/>
      <c r="P10" s="4"/>
      <c r="Q10" s="4"/>
      <c r="R10" s="4"/>
      <c r="X10" s="2"/>
    </row>
    <row r="11" spans="1:24" s="2" customFormat="1" ht="12.75" customHeight="1" x14ac:dyDescent="0.2">
      <c r="A11" s="6" t="s">
        <v>18</v>
      </c>
      <c r="B11" s="2" t="s">
        <v>15</v>
      </c>
      <c r="C11" s="4"/>
      <c r="N11" s="4"/>
      <c r="O11" s="4"/>
      <c r="P11" s="4"/>
      <c r="Q11" s="4"/>
      <c r="R11" s="4"/>
    </row>
    <row r="12" spans="1:24" s="2" customFormat="1" ht="12.75" customHeight="1" x14ac:dyDescent="0.2">
      <c r="A12" s="6"/>
      <c r="B12" s="2" t="s">
        <v>16</v>
      </c>
      <c r="C12" s="4"/>
      <c r="N12" s="4"/>
      <c r="O12" s="4"/>
      <c r="P12" s="4"/>
      <c r="Q12" s="4"/>
      <c r="R12" s="4"/>
      <c r="X12"/>
    </row>
    <row r="13" spans="1:24" s="2" customFormat="1" ht="12.75" customHeight="1" x14ac:dyDescent="0.2">
      <c r="A13" s="6" t="s">
        <v>20</v>
      </c>
      <c r="B13" t="s">
        <v>104</v>
      </c>
      <c r="C13" s="4"/>
      <c r="N13" s="4"/>
      <c r="O13" s="4"/>
      <c r="P13" s="4"/>
      <c r="Q13" s="4"/>
      <c r="R13" s="4"/>
      <c r="W13"/>
      <c r="X13"/>
    </row>
    <row r="14" spans="1:24" s="2" customFormat="1" ht="12.75" customHeight="1" x14ac:dyDescent="0.2">
      <c r="A14" s="6" t="s">
        <v>30</v>
      </c>
      <c r="B14" s="68" t="s">
        <v>284</v>
      </c>
      <c r="C14" s="4"/>
      <c r="N14" s="4"/>
      <c r="O14" s="4"/>
      <c r="P14" s="4"/>
      <c r="Q14" s="4"/>
      <c r="R14" s="4"/>
      <c r="W14"/>
      <c r="X14"/>
    </row>
    <row r="15" spans="1:24" s="2" customFormat="1" ht="12.75" customHeight="1" x14ac:dyDescent="0.2">
      <c r="A15" s="6"/>
      <c r="B15" s="68" t="s">
        <v>288</v>
      </c>
      <c r="C15" s="4"/>
      <c r="N15" s="4"/>
      <c r="O15" s="4"/>
      <c r="P15" s="4"/>
      <c r="Q15" s="4"/>
      <c r="R15" s="4"/>
      <c r="X15"/>
    </row>
    <row r="16" spans="1:24" s="2" customFormat="1" ht="12.75" customHeight="1" x14ac:dyDescent="0.2">
      <c r="A16" s="6" t="s">
        <v>31</v>
      </c>
      <c r="B16" s="2" t="s">
        <v>17</v>
      </c>
      <c r="C16" s="4"/>
      <c r="N16" s="4"/>
      <c r="O16" s="4"/>
      <c r="P16" s="4"/>
      <c r="Q16" s="4"/>
      <c r="R16" s="4"/>
      <c r="X16"/>
    </row>
    <row r="17" spans="1:24" s="2" customFormat="1" ht="12.75" customHeight="1" x14ac:dyDescent="0.2">
      <c r="A17" s="6" t="s">
        <v>32</v>
      </c>
      <c r="B17" s="21" t="s">
        <v>101</v>
      </c>
      <c r="C17" s="4"/>
      <c r="M17" s="179" t="s">
        <v>282</v>
      </c>
      <c r="N17" s="179"/>
      <c r="O17" s="179"/>
      <c r="P17" s="179"/>
      <c r="Q17" s="179"/>
      <c r="R17" s="179"/>
      <c r="W17"/>
      <c r="X17"/>
    </row>
    <row r="18" spans="1:24" s="2" customFormat="1" ht="12.75" customHeight="1" x14ac:dyDescent="0.2">
      <c r="A18" s="6" t="s">
        <v>33</v>
      </c>
      <c r="B18" s="13" t="s">
        <v>93</v>
      </c>
      <c r="C18" s="4"/>
      <c r="N18" s="4"/>
      <c r="O18" s="4"/>
      <c r="P18" s="179" t="s">
        <v>92</v>
      </c>
      <c r="Q18" s="179"/>
      <c r="R18" s="179"/>
      <c r="W18"/>
      <c r="X18"/>
    </row>
    <row r="19" spans="1:24" s="2" customFormat="1" ht="12.75" customHeight="1" x14ac:dyDescent="0.2">
      <c r="A19" s="6" t="s">
        <v>48</v>
      </c>
      <c r="B19" s="2" t="s">
        <v>493</v>
      </c>
      <c r="C19" s="4"/>
      <c r="N19" s="4"/>
      <c r="O19" s="4"/>
      <c r="P19" s="4"/>
      <c r="Q19" s="4"/>
      <c r="R19" s="4"/>
      <c r="W19"/>
      <c r="X19"/>
    </row>
    <row r="20" spans="1:24" s="2" customFormat="1" ht="12.75" customHeight="1" x14ac:dyDescent="0.2">
      <c r="A20" s="6"/>
      <c r="B20" s="2" t="s">
        <v>105</v>
      </c>
      <c r="C20" s="8"/>
      <c r="T20" s="156"/>
      <c r="W20"/>
      <c r="X20"/>
    </row>
    <row r="21" spans="1:24" ht="12.75" customHeight="1" x14ac:dyDescent="0.2">
      <c r="A21" s="7"/>
      <c r="H21" t="s">
        <v>107</v>
      </c>
      <c r="O21" s="19"/>
      <c r="P21" s="173"/>
      <c r="Q21" s="174"/>
      <c r="R21" s="174"/>
      <c r="S21" s="174"/>
      <c r="T21" s="175"/>
    </row>
    <row r="22" spans="1:24" ht="12.75" customHeight="1" x14ac:dyDescent="0.2">
      <c r="A22" s="7"/>
      <c r="H22" t="s">
        <v>108</v>
      </c>
      <c r="O22" s="19"/>
      <c r="P22" s="173"/>
      <c r="Q22" s="174"/>
      <c r="R22" s="174"/>
      <c r="S22" s="174"/>
      <c r="T22" s="175"/>
    </row>
    <row r="23" spans="1:24" ht="12.75" customHeight="1" x14ac:dyDescent="0.2">
      <c r="A23" s="7"/>
      <c r="H23" t="s">
        <v>11</v>
      </c>
      <c r="O23" s="19"/>
      <c r="P23" s="173"/>
      <c r="Q23" s="174"/>
      <c r="R23" s="174"/>
      <c r="S23" s="174"/>
      <c r="T23" s="175"/>
    </row>
    <row r="24" spans="1:24" ht="12.75" customHeight="1" x14ac:dyDescent="0.2">
      <c r="H24" t="s">
        <v>0</v>
      </c>
      <c r="O24" s="19"/>
      <c r="P24" s="173"/>
      <c r="Q24" s="174"/>
      <c r="R24" s="174"/>
      <c r="S24" s="174"/>
      <c r="T24" s="175"/>
    </row>
    <row r="25" spans="1:24" ht="12.75" customHeight="1" x14ac:dyDescent="0.2">
      <c r="O25" s="19"/>
      <c r="P25" s="173"/>
      <c r="Q25" s="174"/>
      <c r="R25" s="174"/>
      <c r="S25" s="174"/>
      <c r="T25" s="175"/>
    </row>
    <row r="26" spans="1:24" ht="12.75" customHeight="1" x14ac:dyDescent="0.2">
      <c r="H26" t="s">
        <v>109</v>
      </c>
      <c r="O26" s="19"/>
      <c r="P26" s="173"/>
      <c r="Q26" s="174"/>
      <c r="R26" s="174"/>
      <c r="S26" s="174"/>
      <c r="T26" s="175"/>
    </row>
    <row r="27" spans="1:24" ht="12.75" customHeight="1" x14ac:dyDescent="0.2">
      <c r="H27" t="s">
        <v>110</v>
      </c>
      <c r="O27" s="19"/>
      <c r="P27" s="173"/>
      <c r="Q27" s="174"/>
      <c r="R27" s="174"/>
      <c r="S27" s="174"/>
      <c r="T27" s="175"/>
    </row>
    <row r="28" spans="1:24" ht="12.75" customHeight="1" x14ac:dyDescent="0.2">
      <c r="H28" t="s">
        <v>111</v>
      </c>
      <c r="O28" s="19"/>
      <c r="P28" s="181"/>
      <c r="Q28" s="182"/>
      <c r="R28" s="182"/>
      <c r="S28" s="182"/>
      <c r="T28" s="183"/>
    </row>
    <row r="29" spans="1:24" ht="12.75" customHeight="1" x14ac:dyDescent="0.2">
      <c r="H29" t="s">
        <v>1</v>
      </c>
      <c r="O29" s="19"/>
      <c r="P29" s="176"/>
      <c r="Q29" s="177"/>
      <c r="R29" s="177"/>
      <c r="S29" s="177"/>
      <c r="T29" s="178"/>
    </row>
    <row r="30" spans="1:24" ht="12.75" customHeight="1" x14ac:dyDescent="0.2">
      <c r="H30" t="s">
        <v>36</v>
      </c>
      <c r="N30" s="20"/>
      <c r="O30" s="19"/>
      <c r="P30" s="173"/>
      <c r="Q30" s="174"/>
      <c r="R30" s="174"/>
      <c r="S30" s="174"/>
      <c r="T30" s="175"/>
    </row>
    <row r="31" spans="1:24" ht="6" customHeight="1" x14ac:dyDescent="0.2">
      <c r="P31" s="33"/>
    </row>
    <row r="32" spans="1:24" ht="15" customHeight="1" x14ac:dyDescent="0.25">
      <c r="A32" s="130"/>
      <c r="B32" s="135" t="s">
        <v>49</v>
      </c>
      <c r="C32" s="13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32"/>
      <c r="P32" s="133"/>
      <c r="Q32" s="111"/>
      <c r="R32" s="133"/>
      <c r="S32" s="111"/>
      <c r="T32" s="134"/>
      <c r="U32" s="111"/>
    </row>
    <row r="33" spans="1:19" ht="6" customHeight="1" x14ac:dyDescent="0.2">
      <c r="A33" s="9"/>
    </row>
    <row r="34" spans="1:19" ht="12.75" customHeight="1" x14ac:dyDescent="0.2">
      <c r="A34" s="40" t="s">
        <v>18</v>
      </c>
      <c r="B34" s="1" t="s">
        <v>494</v>
      </c>
    </row>
    <row r="35" spans="1:19" ht="12.75" customHeight="1" x14ac:dyDescent="0.2">
      <c r="A35" s="9"/>
      <c r="B35" s="105" t="s">
        <v>495</v>
      </c>
    </row>
    <row r="36" spans="1:19" ht="12.75" customHeight="1" x14ac:dyDescent="0.2">
      <c r="A36" s="9"/>
      <c r="B36" s="105" t="s">
        <v>496</v>
      </c>
    </row>
    <row r="37" spans="1:19" x14ac:dyDescent="0.2">
      <c r="A37" s="9"/>
      <c r="B37" s="105"/>
      <c r="R37" s="54" t="s">
        <v>546</v>
      </c>
    </row>
    <row r="38" spans="1:19" ht="12.75" customHeight="1" x14ac:dyDescent="0.2">
      <c r="A38" s="40"/>
      <c r="B38" s="2" t="s">
        <v>64</v>
      </c>
      <c r="D38" s="24"/>
      <c r="E38" s="24"/>
      <c r="F38" s="41" t="s">
        <v>497</v>
      </c>
      <c r="G38" s="24"/>
      <c r="H38" s="24"/>
      <c r="I38" s="24"/>
      <c r="J38" s="24"/>
      <c r="K38" s="24"/>
      <c r="L38" s="24"/>
      <c r="M38" s="24"/>
      <c r="R38" s="104"/>
    </row>
    <row r="39" spans="1:19" ht="12.75" customHeight="1" x14ac:dyDescent="0.2">
      <c r="A39" s="9"/>
      <c r="B39" s="2" t="s">
        <v>65</v>
      </c>
      <c r="D39" s="24"/>
      <c r="E39" s="24"/>
      <c r="F39" s="24"/>
      <c r="G39" s="41" t="s">
        <v>498</v>
      </c>
      <c r="H39" s="24"/>
      <c r="I39" s="24"/>
      <c r="J39" s="24"/>
      <c r="K39" s="24"/>
      <c r="L39" s="24"/>
      <c r="M39" s="24"/>
      <c r="R39" s="104"/>
    </row>
    <row r="40" spans="1:19" ht="12.75" customHeight="1" x14ac:dyDescent="0.2">
      <c r="A40" s="9"/>
      <c r="B40" s="2" t="s">
        <v>287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104"/>
    </row>
    <row r="41" spans="1:19" ht="12.75" customHeight="1" x14ac:dyDescent="0.2">
      <c r="A41" s="9"/>
      <c r="B41" s="2" t="s">
        <v>66</v>
      </c>
      <c r="D41" s="41" t="s">
        <v>499</v>
      </c>
      <c r="G41" s="50"/>
      <c r="H41" s="50"/>
      <c r="I41" s="50"/>
      <c r="J41" s="50"/>
      <c r="K41" s="50"/>
      <c r="L41" s="50"/>
      <c r="M41" s="50"/>
      <c r="N41" s="50"/>
      <c r="O41" s="48"/>
      <c r="P41" s="48"/>
      <c r="Q41" s="49"/>
      <c r="R41" s="104"/>
    </row>
    <row r="42" spans="1:19" x14ac:dyDescent="0.2">
      <c r="A42" s="42"/>
      <c r="B42" s="2" t="s">
        <v>67</v>
      </c>
      <c r="M42" s="44"/>
      <c r="N42" s="44"/>
      <c r="O42" s="48"/>
      <c r="P42" s="48"/>
      <c r="Q42" s="49"/>
      <c r="R42" s="104"/>
    </row>
    <row r="43" spans="1:19" x14ac:dyDescent="0.2">
      <c r="A43" s="9"/>
      <c r="B43" s="2" t="s">
        <v>46</v>
      </c>
      <c r="H43" s="44"/>
      <c r="I43" s="44"/>
      <c r="J43" s="44"/>
      <c r="K43" s="44"/>
      <c r="L43" s="44"/>
      <c r="M43" s="48"/>
      <c r="N43" s="48"/>
      <c r="O43" s="48"/>
      <c r="P43" s="48"/>
      <c r="Q43" s="49"/>
      <c r="R43" s="104"/>
    </row>
    <row r="44" spans="1:19" x14ac:dyDescent="0.2">
      <c r="A44" s="40"/>
      <c r="C44" s="1" t="s">
        <v>47</v>
      </c>
      <c r="R44" s="14">
        <f>Dremp+Indemp+Supremp+Slsemp+Exemp+OEMP</f>
        <v>0</v>
      </c>
    </row>
    <row r="45" spans="1:19" ht="6" customHeight="1" x14ac:dyDescent="0.2">
      <c r="A45" s="40"/>
      <c r="C45" s="1"/>
      <c r="R45" s="14"/>
    </row>
    <row r="46" spans="1:19" x14ac:dyDescent="0.2">
      <c r="A46" s="40" t="s">
        <v>19</v>
      </c>
      <c r="B46" s="1" t="s">
        <v>68</v>
      </c>
      <c r="R46" s="54" t="s">
        <v>545</v>
      </c>
    </row>
    <row r="47" spans="1:19" x14ac:dyDescent="0.2">
      <c r="A47" s="9"/>
      <c r="B47" s="2" t="s">
        <v>69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104"/>
      <c r="S47" s="8" t="s">
        <v>2</v>
      </c>
    </row>
    <row r="48" spans="1:19" x14ac:dyDescent="0.2">
      <c r="A48" s="42"/>
      <c r="B48" s="2" t="s">
        <v>70</v>
      </c>
      <c r="C48" s="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  <c r="R48" s="104"/>
      <c r="S48" s="13"/>
    </row>
    <row r="49" spans="1:27" x14ac:dyDescent="0.2">
      <c r="A49" s="9"/>
      <c r="B49" s="2" t="s">
        <v>283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48"/>
      <c r="P49" s="48"/>
      <c r="Q49" s="49"/>
      <c r="R49" s="104"/>
      <c r="S49" s="12"/>
    </row>
    <row r="50" spans="1:27" x14ac:dyDescent="0.2">
      <c r="A50" s="40"/>
      <c r="B50" s="2" t="s">
        <v>71</v>
      </c>
      <c r="N50" s="46"/>
      <c r="O50" s="48"/>
      <c r="P50" s="48"/>
      <c r="Q50" s="49"/>
      <c r="R50" s="104"/>
    </row>
    <row r="51" spans="1:27" x14ac:dyDescent="0.2">
      <c r="A51" s="9"/>
      <c r="B51" s="2" t="s">
        <v>72</v>
      </c>
      <c r="H51" s="44"/>
      <c r="I51" s="44"/>
      <c r="J51" s="44"/>
      <c r="K51" s="44"/>
      <c r="L51" s="44"/>
      <c r="M51" s="44"/>
      <c r="N51" s="47"/>
      <c r="O51" s="48"/>
      <c r="P51" s="48"/>
      <c r="Q51" s="49"/>
      <c r="R51" s="104"/>
    </row>
    <row r="52" spans="1:27" x14ac:dyDescent="0.2">
      <c r="A52" s="9"/>
      <c r="B52" s="2" t="s">
        <v>73</v>
      </c>
      <c r="H52" s="50"/>
      <c r="I52" s="48"/>
      <c r="J52" s="48"/>
      <c r="K52" s="48"/>
      <c r="L52" s="48"/>
      <c r="M52" s="48"/>
      <c r="N52" s="47"/>
      <c r="O52" s="48"/>
      <c r="P52" s="48"/>
      <c r="Q52" s="49"/>
      <c r="R52" s="104"/>
      <c r="S52" s="13"/>
    </row>
    <row r="53" spans="1:27" x14ac:dyDescent="0.2">
      <c r="A53" s="9"/>
      <c r="B53" s="2" t="s">
        <v>112</v>
      </c>
      <c r="I53" s="48"/>
      <c r="J53" s="48"/>
      <c r="K53" s="48"/>
      <c r="L53" s="48"/>
      <c r="M53" s="48"/>
      <c r="N53" s="47"/>
      <c r="O53" s="48"/>
      <c r="P53" s="48"/>
      <c r="Q53" s="49"/>
      <c r="R53" s="104"/>
      <c r="S53" s="13"/>
    </row>
    <row r="54" spans="1:27" x14ac:dyDescent="0.2">
      <c r="A54" s="9"/>
      <c r="B54" s="2" t="s">
        <v>106</v>
      </c>
      <c r="N54" s="24"/>
      <c r="R54" s="43">
        <f>R55-R47-R48-R49-R50-R51-R52-R53</f>
        <v>100</v>
      </c>
      <c r="S54" s="13"/>
    </row>
    <row r="55" spans="1:27" x14ac:dyDescent="0.2">
      <c r="A55" s="42"/>
      <c r="C55" s="1" t="s">
        <v>45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4">
        <v>100</v>
      </c>
      <c r="S55" s="8" t="s">
        <v>2</v>
      </c>
      <c r="Z55" t="s">
        <v>38</v>
      </c>
    </row>
    <row r="56" spans="1:27" x14ac:dyDescent="0.2">
      <c r="Z56" t="s">
        <v>37</v>
      </c>
    </row>
    <row r="57" spans="1:27" ht="15" customHeight="1" x14ac:dyDescent="0.2">
      <c r="A57" s="130"/>
      <c r="B57" s="135" t="s">
        <v>50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32"/>
      <c r="O57" s="111"/>
      <c r="P57" s="111"/>
      <c r="Q57" s="111"/>
      <c r="R57" s="111"/>
      <c r="S57" s="111"/>
      <c r="T57" s="111"/>
      <c r="U57" s="111"/>
      <c r="Y57" s="2"/>
      <c r="Z57" s="2" t="s">
        <v>277</v>
      </c>
    </row>
    <row r="58" spans="1:27" x14ac:dyDescent="0.2">
      <c r="A58" s="40" t="s">
        <v>20</v>
      </c>
      <c r="B58" t="s">
        <v>100</v>
      </c>
      <c r="R58" s="54" t="s">
        <v>273</v>
      </c>
      <c r="T58" s="106"/>
      <c r="Y58" s="2"/>
      <c r="Z58" s="2" t="s">
        <v>278</v>
      </c>
    </row>
    <row r="59" spans="1:27" ht="6" customHeight="1" x14ac:dyDescent="0.2">
      <c r="A59" s="40"/>
      <c r="T59" s="17"/>
    </row>
    <row r="60" spans="1:27" x14ac:dyDescent="0.2">
      <c r="A60" s="9"/>
      <c r="B60" s="2" t="str">
        <f>VLOOKUP(LIFO,Z60:AA64,2,FALSE)</f>
        <v>a.  If yes, how much was your annual addition to LIFO reserves for the year?</v>
      </c>
      <c r="S60" s="23" t="s">
        <v>3</v>
      </c>
      <c r="T60" s="107"/>
      <c r="Z60" t="s">
        <v>38</v>
      </c>
      <c r="AA60" s="2" t="s">
        <v>86</v>
      </c>
    </row>
    <row r="61" spans="1:27" x14ac:dyDescent="0.2">
      <c r="A61" s="9"/>
      <c r="B61" s="2" t="str">
        <f>VLOOKUP(LIFO,Z67:AA71,2,FALSE)</f>
        <v>b.  If yes, how much was your total ending LIFO reserve?</v>
      </c>
      <c r="S61" s="23" t="s">
        <v>3</v>
      </c>
      <c r="T61" s="107"/>
      <c r="Z61" t="s">
        <v>37</v>
      </c>
      <c r="AA61" t="s">
        <v>275</v>
      </c>
    </row>
    <row r="62" spans="1:27" x14ac:dyDescent="0.2">
      <c r="A62" s="136" t="s">
        <v>21</v>
      </c>
      <c r="B62" s="137" t="s">
        <v>509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9"/>
      <c r="O62" s="139"/>
      <c r="P62" s="139"/>
      <c r="Q62" s="139"/>
      <c r="R62" s="139"/>
      <c r="S62" s="139"/>
      <c r="T62" s="139"/>
      <c r="U62" s="139"/>
      <c r="Z62">
        <v>0</v>
      </c>
      <c r="AA62" s="2" t="s">
        <v>86</v>
      </c>
    </row>
    <row r="63" spans="1:27" x14ac:dyDescent="0.2">
      <c r="A63" s="9"/>
      <c r="B63" s="55" t="s">
        <v>4</v>
      </c>
      <c r="C63" s="1"/>
      <c r="Y63" s="2"/>
      <c r="Z63" s="2" t="s">
        <v>277</v>
      </c>
      <c r="AA63" s="2" t="s">
        <v>86</v>
      </c>
    </row>
    <row r="64" spans="1:27" x14ac:dyDescent="0.2">
      <c r="A64" s="9"/>
      <c r="B64" s="1" t="s">
        <v>5</v>
      </c>
      <c r="C64" s="1"/>
      <c r="Y64" s="2"/>
      <c r="Z64" s="2" t="s">
        <v>278</v>
      </c>
      <c r="AA64" t="s">
        <v>275</v>
      </c>
    </row>
    <row r="65" spans="1:27" x14ac:dyDescent="0.2">
      <c r="A65" s="9"/>
      <c r="B65" t="s">
        <v>10</v>
      </c>
      <c r="K65" s="44"/>
      <c r="L65" s="44"/>
      <c r="M65" s="44"/>
      <c r="N65" s="44"/>
      <c r="O65" s="44"/>
      <c r="P65" s="44"/>
      <c r="Q65" s="44"/>
      <c r="R65" s="44"/>
      <c r="S65" s="57" t="s">
        <v>3</v>
      </c>
      <c r="T65" s="107"/>
    </row>
    <row r="66" spans="1:27" x14ac:dyDescent="0.2">
      <c r="A66" s="9"/>
      <c r="B66" s="2" t="s">
        <v>74</v>
      </c>
      <c r="C66" s="1"/>
      <c r="I66" s="41" t="s">
        <v>500</v>
      </c>
      <c r="K66" s="50"/>
      <c r="L66" s="50"/>
      <c r="M66" s="50"/>
      <c r="N66" s="50"/>
      <c r="O66" s="50"/>
      <c r="P66" s="50"/>
      <c r="Q66" s="48"/>
      <c r="R66" s="48"/>
      <c r="S66" s="59"/>
      <c r="T66" s="107"/>
    </row>
    <row r="67" spans="1:27" x14ac:dyDescent="0.2">
      <c r="A67" s="9"/>
      <c r="B67" s="2" t="s">
        <v>9</v>
      </c>
      <c r="D67" s="24"/>
      <c r="E67" s="24"/>
      <c r="F67" s="41" t="s">
        <v>501</v>
      </c>
      <c r="G67" s="24"/>
      <c r="H67" s="24"/>
      <c r="J67" s="24"/>
      <c r="K67" s="24"/>
      <c r="L67" s="24"/>
      <c r="M67" s="24"/>
      <c r="Q67" s="48"/>
      <c r="R67" s="48"/>
      <c r="S67" s="59"/>
      <c r="T67" s="107"/>
      <c r="Z67" t="s">
        <v>38</v>
      </c>
      <c r="AA67" t="s">
        <v>40</v>
      </c>
    </row>
    <row r="68" spans="1:27" x14ac:dyDescent="0.2">
      <c r="A68" s="9"/>
      <c r="B68" t="s">
        <v>6</v>
      </c>
      <c r="C68" s="1"/>
      <c r="I68" s="44"/>
      <c r="J68" s="44"/>
      <c r="K68" s="44"/>
      <c r="L68" s="44"/>
      <c r="M68" s="44"/>
      <c r="N68" s="44"/>
      <c r="O68" s="44"/>
      <c r="P68" s="44"/>
      <c r="Q68" s="48"/>
      <c r="R68" s="48"/>
      <c r="S68" s="59"/>
      <c r="T68" s="107"/>
      <c r="Z68" t="s">
        <v>37</v>
      </c>
      <c r="AA68" t="s">
        <v>274</v>
      </c>
    </row>
    <row r="69" spans="1:27" x14ac:dyDescent="0.2">
      <c r="A69" s="9"/>
      <c r="C69" s="1" t="s">
        <v>88</v>
      </c>
      <c r="S69" s="23" t="s">
        <v>3</v>
      </c>
      <c r="T69" s="18">
        <f>Cash+AR+Inv+OCA</f>
        <v>0</v>
      </c>
      <c r="Z69">
        <v>0</v>
      </c>
      <c r="AA69" t="s">
        <v>40</v>
      </c>
    </row>
    <row r="70" spans="1:27" x14ac:dyDescent="0.2">
      <c r="A70" s="9"/>
      <c r="B70" s="2" t="s">
        <v>75</v>
      </c>
      <c r="C70" s="1"/>
      <c r="G70" s="2" t="s">
        <v>502</v>
      </c>
      <c r="Q70" s="7"/>
      <c r="R70" s="11"/>
      <c r="S70" s="7"/>
      <c r="T70" s="108"/>
      <c r="Z70" s="2" t="s">
        <v>277</v>
      </c>
      <c r="AA70" t="s">
        <v>40</v>
      </c>
    </row>
    <row r="71" spans="1:27" x14ac:dyDescent="0.2">
      <c r="A71" s="9"/>
      <c r="B71" s="2" t="s">
        <v>85</v>
      </c>
      <c r="C71" s="1"/>
      <c r="J71" s="41" t="s">
        <v>503</v>
      </c>
      <c r="S71" s="7"/>
      <c r="T71" s="107"/>
      <c r="Z71" s="2" t="s">
        <v>278</v>
      </c>
      <c r="AA71" t="s">
        <v>274</v>
      </c>
    </row>
    <row r="72" spans="1:27" x14ac:dyDescent="0.2">
      <c r="A72" s="9"/>
      <c r="C72" s="1" t="s">
        <v>87</v>
      </c>
      <c r="E72" s="24"/>
      <c r="F72" s="24"/>
      <c r="G72" s="24"/>
      <c r="H72" s="109" t="s">
        <v>504</v>
      </c>
      <c r="I72" s="24"/>
      <c r="J72" s="24"/>
      <c r="K72" s="24"/>
      <c r="L72" s="24"/>
      <c r="M72" s="24"/>
      <c r="O72" s="24"/>
      <c r="S72" s="23" t="s">
        <v>3</v>
      </c>
      <c r="T72" s="18">
        <f>CA+Fixed+OFA</f>
        <v>0</v>
      </c>
    </row>
    <row r="73" spans="1:27" x14ac:dyDescent="0.2">
      <c r="A73" s="9"/>
      <c r="B73" s="55" t="s">
        <v>7</v>
      </c>
      <c r="C73" s="1"/>
      <c r="S73" s="56"/>
    </row>
    <row r="74" spans="1:27" x14ac:dyDescent="0.2">
      <c r="A74" s="9"/>
      <c r="B74" s="1" t="s">
        <v>8</v>
      </c>
      <c r="C74" s="1"/>
      <c r="S74" s="56"/>
    </row>
    <row r="75" spans="1:27" x14ac:dyDescent="0.2">
      <c r="A75" s="9"/>
      <c r="B75" t="s">
        <v>94</v>
      </c>
      <c r="H75" s="41" t="s">
        <v>505</v>
      </c>
      <c r="J75" s="44"/>
      <c r="K75" s="44"/>
      <c r="L75" s="44"/>
      <c r="M75" s="44"/>
      <c r="N75" s="44"/>
      <c r="O75" s="44"/>
      <c r="P75" s="44"/>
      <c r="Q75" s="44"/>
      <c r="R75" s="44"/>
      <c r="S75" s="62" t="s">
        <v>3</v>
      </c>
      <c r="T75" s="107"/>
    </row>
    <row r="76" spans="1:27" x14ac:dyDescent="0.2">
      <c r="A76" s="9"/>
      <c r="B76" s="2" t="s">
        <v>506</v>
      </c>
      <c r="C76" s="1"/>
      <c r="G76" s="41"/>
      <c r="J76" s="50"/>
      <c r="K76" s="50"/>
      <c r="L76" s="50"/>
      <c r="M76" s="50"/>
      <c r="N76" s="50"/>
      <c r="O76" s="50"/>
      <c r="P76" s="50"/>
      <c r="Q76" s="50"/>
      <c r="R76" s="110" t="s">
        <v>507</v>
      </c>
      <c r="S76" s="72"/>
      <c r="T76" s="107"/>
    </row>
    <row r="77" spans="1:27" x14ac:dyDescent="0.2">
      <c r="A77" s="9"/>
      <c r="B77" t="s">
        <v>95</v>
      </c>
      <c r="C77" s="1"/>
      <c r="J77" s="41" t="s">
        <v>508</v>
      </c>
      <c r="O77" s="44"/>
      <c r="P77" s="44"/>
      <c r="Q77" s="44"/>
      <c r="R77" s="44"/>
      <c r="S77" s="63"/>
      <c r="T77" s="107"/>
    </row>
    <row r="78" spans="1:27" x14ac:dyDescent="0.2">
      <c r="A78" s="9"/>
      <c r="C78" s="1" t="s">
        <v>89</v>
      </c>
      <c r="O78" s="50"/>
      <c r="P78" s="50"/>
      <c r="Q78" s="50"/>
      <c r="R78" s="50"/>
      <c r="S78" s="64" t="s">
        <v>3</v>
      </c>
      <c r="T78" s="18">
        <f>AP+NP+OCL</f>
        <v>0</v>
      </c>
    </row>
    <row r="79" spans="1:27" x14ac:dyDescent="0.2">
      <c r="A79" s="9"/>
      <c r="B79" t="s">
        <v>97</v>
      </c>
      <c r="C79" s="1"/>
      <c r="I79" s="41" t="s">
        <v>96</v>
      </c>
      <c r="P79" s="44"/>
      <c r="Q79" s="44"/>
      <c r="R79" s="44"/>
      <c r="S79" s="63"/>
      <c r="T79" s="107"/>
    </row>
    <row r="80" spans="1:27" x14ac:dyDescent="0.2">
      <c r="A80" s="9"/>
      <c r="B80" t="s">
        <v>34</v>
      </c>
      <c r="C80" s="1"/>
      <c r="J80" s="44"/>
      <c r="K80" s="44"/>
      <c r="L80" s="44"/>
      <c r="M80" s="44"/>
      <c r="N80" s="44"/>
      <c r="O80" s="44"/>
      <c r="P80" s="48"/>
      <c r="Q80" s="48"/>
      <c r="R80" s="48"/>
      <c r="S80" s="61"/>
      <c r="T80" s="107"/>
    </row>
    <row r="81" spans="1:21" x14ac:dyDescent="0.2">
      <c r="A81" s="9"/>
      <c r="B81" t="s">
        <v>99</v>
      </c>
      <c r="C81" s="1"/>
      <c r="K81" s="41" t="s">
        <v>98</v>
      </c>
      <c r="S81" s="7"/>
      <c r="T81" s="10">
        <f>(LIAB-(CL+LTL+LOAN))</f>
        <v>0</v>
      </c>
    </row>
    <row r="82" spans="1:21" x14ac:dyDescent="0.2">
      <c r="A82" s="9"/>
      <c r="C82" s="1" t="s">
        <v>90</v>
      </c>
      <c r="S82" s="23" t="s">
        <v>3</v>
      </c>
      <c r="T82" s="18">
        <f>TA</f>
        <v>0</v>
      </c>
    </row>
    <row r="84" spans="1:21" ht="15" customHeight="1" x14ac:dyDescent="0.2">
      <c r="A84" s="130"/>
      <c r="B84" s="135" t="s">
        <v>61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11"/>
      <c r="M84" s="111"/>
      <c r="N84" s="132"/>
      <c r="O84" s="142"/>
      <c r="P84" s="142"/>
      <c r="Q84" s="142"/>
      <c r="R84" s="142"/>
      <c r="S84" s="143"/>
      <c r="T84" s="142"/>
      <c r="U84" s="142"/>
    </row>
    <row r="85" spans="1:21" ht="15" customHeight="1" x14ac:dyDescent="0.2">
      <c r="A85" s="73" t="s">
        <v>30</v>
      </c>
      <c r="B85" s="74" t="s">
        <v>113</v>
      </c>
      <c r="C85" s="69"/>
      <c r="D85" s="69"/>
      <c r="E85" s="69"/>
      <c r="F85" s="69"/>
      <c r="G85" s="69"/>
      <c r="H85" s="69"/>
      <c r="I85" s="69"/>
      <c r="J85" s="69"/>
      <c r="K85" s="69"/>
      <c r="L85" s="180">
        <f>Yr-2</f>
        <v>2022</v>
      </c>
      <c r="M85" s="180"/>
      <c r="N85" s="69"/>
      <c r="O85" s="69"/>
      <c r="P85" s="75"/>
      <c r="Q85" s="69"/>
      <c r="R85" s="69"/>
      <c r="S85" s="76" t="s">
        <v>3</v>
      </c>
      <c r="T85" s="140"/>
      <c r="U85" s="69"/>
    </row>
    <row r="86" spans="1:21" ht="6" customHeight="1" x14ac:dyDescent="0.2">
      <c r="A86" s="130"/>
      <c r="B86" s="144"/>
      <c r="C86" s="141"/>
      <c r="D86" s="141"/>
      <c r="E86" s="141"/>
      <c r="F86" s="141"/>
      <c r="G86" s="141"/>
      <c r="H86" s="141"/>
      <c r="I86" s="141"/>
      <c r="J86" s="141"/>
      <c r="K86" s="141"/>
      <c r="L86" s="111"/>
      <c r="M86" s="111"/>
      <c r="N86" s="132"/>
      <c r="O86" s="142"/>
      <c r="P86" s="142"/>
      <c r="Q86" s="142"/>
      <c r="R86" s="142"/>
      <c r="S86" s="143"/>
      <c r="T86" s="142"/>
      <c r="U86" s="142"/>
    </row>
    <row r="87" spans="1:21" x14ac:dyDescent="0.2">
      <c r="A87" s="40" t="s">
        <v>31</v>
      </c>
      <c r="B87" s="1" t="s">
        <v>61</v>
      </c>
      <c r="I87" s="170" t="str">
        <f>"— Fiscal year "&amp; Yr-1 &amp;", 12 months of data"</f>
        <v>— Fiscal year 2023, 12 months of data</v>
      </c>
      <c r="J87" s="41"/>
      <c r="L87" s="170"/>
      <c r="M87" s="41"/>
      <c r="N87" s="41"/>
      <c r="O87" s="41"/>
      <c r="S87" s="7"/>
    </row>
    <row r="88" spans="1:21" x14ac:dyDescent="0.2">
      <c r="A88" s="9"/>
      <c r="B88" s="1" t="s">
        <v>41</v>
      </c>
      <c r="E88" s="24"/>
      <c r="F88" s="41" t="s">
        <v>519</v>
      </c>
      <c r="H88" s="24"/>
      <c r="I88" s="24"/>
      <c r="J88" s="24"/>
      <c r="K88" s="24"/>
      <c r="L88" s="24"/>
      <c r="M88" s="24"/>
      <c r="R88" s="44"/>
      <c r="S88" s="57" t="s">
        <v>3</v>
      </c>
      <c r="T88" s="107"/>
    </row>
    <row r="89" spans="1:21" x14ac:dyDescent="0.2">
      <c r="A89" s="9"/>
      <c r="B89" s="145" t="s">
        <v>51</v>
      </c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7"/>
      <c r="T89" s="148"/>
    </row>
    <row r="90" spans="1:21" x14ac:dyDescent="0.2">
      <c r="A90" s="9"/>
      <c r="B90" s="2" t="s">
        <v>80</v>
      </c>
      <c r="E90" s="24"/>
      <c r="G90" s="41" t="s">
        <v>510</v>
      </c>
      <c r="H90" s="41"/>
      <c r="I90" s="24"/>
      <c r="J90" s="24"/>
      <c r="K90" s="24"/>
      <c r="L90" s="24"/>
      <c r="M90" s="24"/>
      <c r="S90" s="70"/>
      <c r="T90" s="107"/>
    </row>
    <row r="91" spans="1:21" ht="13.5" x14ac:dyDescent="0.25">
      <c r="A91" s="9"/>
      <c r="B91" s="2" t="s">
        <v>64</v>
      </c>
      <c r="F91" s="41" t="s">
        <v>511</v>
      </c>
      <c r="J91" s="22"/>
      <c r="S91" s="23"/>
      <c r="T91" s="108"/>
    </row>
    <row r="92" spans="1:21" ht="13.5" x14ac:dyDescent="0.25">
      <c r="A92" s="9"/>
      <c r="B92" s="2" t="s">
        <v>521</v>
      </c>
      <c r="E92" s="24"/>
      <c r="G92" s="41"/>
      <c r="H92" s="24"/>
      <c r="I92" s="24"/>
      <c r="J92" s="41" t="s">
        <v>522</v>
      </c>
      <c r="K92" s="24"/>
      <c r="L92" s="24"/>
      <c r="M92" s="24"/>
      <c r="S92" s="70"/>
      <c r="T92" s="107"/>
    </row>
    <row r="93" spans="1:21" ht="13.5" x14ac:dyDescent="0.25">
      <c r="A93" s="9"/>
      <c r="B93" s="2" t="s">
        <v>512</v>
      </c>
      <c r="C93" s="24"/>
      <c r="H93" s="22"/>
      <c r="S93" s="70"/>
      <c r="T93" s="107"/>
    </row>
    <row r="94" spans="1:21" x14ac:dyDescent="0.2">
      <c r="A94" s="9"/>
      <c r="B94" s="2" t="s">
        <v>81</v>
      </c>
      <c r="E94" s="24"/>
      <c r="F94" s="24"/>
      <c r="G94" s="24"/>
      <c r="H94" s="41" t="s">
        <v>513</v>
      </c>
      <c r="I94" s="24"/>
      <c r="J94" s="24"/>
      <c r="K94" s="24"/>
      <c r="L94" s="24"/>
      <c r="M94" s="24"/>
      <c r="S94" s="70"/>
      <c r="T94" s="107"/>
    </row>
    <row r="95" spans="1:21" x14ac:dyDescent="0.2">
      <c r="A95" s="9"/>
      <c r="B95" s="2" t="s">
        <v>82</v>
      </c>
      <c r="E95" s="2" t="s">
        <v>515</v>
      </c>
      <c r="F95" s="24"/>
      <c r="G95" s="24"/>
      <c r="H95" s="24"/>
      <c r="I95" s="24"/>
      <c r="J95" s="24"/>
      <c r="K95" s="24"/>
      <c r="L95" s="24"/>
      <c r="M95" s="24"/>
      <c r="N95" s="44"/>
      <c r="O95" s="44"/>
      <c r="P95" s="44"/>
      <c r="Q95" s="44"/>
      <c r="R95" s="46"/>
      <c r="S95" s="60"/>
      <c r="T95" s="107"/>
    </row>
    <row r="96" spans="1:21" x14ac:dyDescent="0.2">
      <c r="A96" s="9"/>
      <c r="B96" s="2" t="s">
        <v>83</v>
      </c>
      <c r="E96" s="24"/>
      <c r="F96" s="41" t="s">
        <v>514</v>
      </c>
      <c r="G96" s="24"/>
      <c r="H96" s="24"/>
      <c r="I96" s="24"/>
      <c r="J96" s="24"/>
      <c r="K96" s="24"/>
      <c r="L96" s="24"/>
      <c r="M96" s="24"/>
      <c r="N96" s="50"/>
      <c r="O96" s="53"/>
      <c r="P96" s="53"/>
      <c r="Q96" s="47"/>
      <c r="R96" s="48"/>
      <c r="S96" s="59"/>
      <c r="T96" s="107"/>
    </row>
    <row r="97" spans="1:20" x14ac:dyDescent="0.2">
      <c r="A97" s="9"/>
      <c r="B97" s="2" t="s">
        <v>84</v>
      </c>
      <c r="K97" s="41" t="s">
        <v>516</v>
      </c>
      <c r="Q97" s="50"/>
      <c r="R97" s="48"/>
      <c r="S97" s="59"/>
      <c r="T97" s="107"/>
    </row>
    <row r="98" spans="1:20" ht="13.5" x14ac:dyDescent="0.25">
      <c r="A98" s="9"/>
      <c r="B98" s="2" t="s">
        <v>517</v>
      </c>
      <c r="J98" s="41" t="s">
        <v>518</v>
      </c>
      <c r="M98" s="41"/>
      <c r="N98" s="71"/>
      <c r="O98" s="41"/>
      <c r="P98" s="41"/>
      <c r="Q98" s="41"/>
      <c r="R98" s="50"/>
      <c r="S98" s="59"/>
      <c r="T98" s="107"/>
    </row>
    <row r="99" spans="1:20" x14ac:dyDescent="0.2">
      <c r="A99" s="9"/>
      <c r="C99" s="1" t="s">
        <v>91</v>
      </c>
      <c r="O99" s="24"/>
      <c r="P99" s="24"/>
      <c r="Q99" s="24"/>
      <c r="S99" s="23" t="s">
        <v>3</v>
      </c>
      <c r="T99" s="18">
        <f>T90+T91+T92+T93+T94+T95+T96+T97+T98</f>
        <v>0</v>
      </c>
    </row>
    <row r="100" spans="1:20" x14ac:dyDescent="0.2">
      <c r="A100" s="9"/>
      <c r="B100" s="1" t="s">
        <v>76</v>
      </c>
      <c r="J100" s="149" t="s">
        <v>520</v>
      </c>
      <c r="O100" s="24"/>
      <c r="P100" s="24"/>
      <c r="Q100" s="24"/>
      <c r="S100" s="23" t="s">
        <v>3</v>
      </c>
      <c r="T100" s="18">
        <f>T88-T99</f>
        <v>0</v>
      </c>
    </row>
    <row r="101" spans="1:20" x14ac:dyDescent="0.2">
      <c r="A101" s="9"/>
      <c r="B101" s="150" t="s">
        <v>285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7"/>
      <c r="T101" s="151"/>
    </row>
    <row r="102" spans="1:20" ht="13.5" x14ac:dyDescent="0.25">
      <c r="A102" s="9"/>
      <c r="B102" s="2" t="s">
        <v>286</v>
      </c>
      <c r="C102" s="22"/>
      <c r="K102" s="41" t="s">
        <v>523</v>
      </c>
      <c r="S102" s="70"/>
      <c r="T102" s="107"/>
    </row>
    <row r="103" spans="1:20" ht="13.5" x14ac:dyDescent="0.25">
      <c r="A103" s="9"/>
      <c r="B103" s="2" t="s">
        <v>524</v>
      </c>
      <c r="O103" s="24"/>
      <c r="P103" s="24"/>
      <c r="Q103" s="22"/>
      <c r="S103" s="70"/>
      <c r="T103" s="107"/>
    </row>
    <row r="104" spans="1:20" ht="13.5" x14ac:dyDescent="0.25">
      <c r="A104" s="9"/>
      <c r="B104" s="2" t="s">
        <v>530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2"/>
      <c r="P104" s="2"/>
      <c r="Q104" s="2"/>
      <c r="S104" s="77"/>
      <c r="T104" s="108"/>
    </row>
    <row r="105" spans="1:20" ht="13.5" x14ac:dyDescent="0.25">
      <c r="A105" s="9"/>
      <c r="B105" s="2" t="s">
        <v>525</v>
      </c>
      <c r="C105" s="24"/>
      <c r="D105" s="2"/>
      <c r="E105" s="2"/>
      <c r="F105" s="2"/>
      <c r="H105" s="2"/>
      <c r="I105" s="22"/>
      <c r="J105" s="2"/>
      <c r="K105" s="2"/>
      <c r="L105" s="2"/>
      <c r="M105" s="2"/>
      <c r="N105" s="2"/>
      <c r="O105" s="2"/>
      <c r="P105" s="2"/>
      <c r="Q105" s="2"/>
      <c r="S105" s="77"/>
      <c r="T105" s="108"/>
    </row>
    <row r="106" spans="1:20" x14ac:dyDescent="0.2">
      <c r="A106" s="9"/>
      <c r="B106" s="2" t="s">
        <v>289</v>
      </c>
      <c r="O106" s="44"/>
      <c r="P106" s="44"/>
      <c r="Q106" s="44"/>
      <c r="R106" s="44"/>
      <c r="S106" s="60"/>
      <c r="T106" s="107"/>
    </row>
    <row r="107" spans="1:20" x14ac:dyDescent="0.2">
      <c r="A107" s="9"/>
      <c r="C107" s="1" t="s">
        <v>77</v>
      </c>
      <c r="P107" s="41"/>
      <c r="Q107" s="24"/>
      <c r="S107" s="23" t="s">
        <v>3</v>
      </c>
      <c r="T107" s="18">
        <f>Exec+Admin+Sls+Gabur+OE</f>
        <v>0</v>
      </c>
    </row>
    <row r="108" spans="1:20" x14ac:dyDescent="0.2">
      <c r="A108" s="9"/>
      <c r="B108" s="150" t="s">
        <v>44</v>
      </c>
      <c r="C108" s="146"/>
      <c r="D108" s="146"/>
      <c r="E108" s="146"/>
      <c r="F108" s="146"/>
      <c r="G108" s="146"/>
      <c r="H108" s="155" t="s">
        <v>526</v>
      </c>
      <c r="I108" s="146"/>
      <c r="J108" s="146"/>
      <c r="K108" s="146"/>
      <c r="L108" s="146"/>
      <c r="M108" s="146"/>
      <c r="N108" s="146"/>
      <c r="O108" s="152"/>
      <c r="P108" s="152"/>
      <c r="Q108" s="152"/>
      <c r="R108" s="146"/>
      <c r="S108" s="153" t="s">
        <v>3</v>
      </c>
      <c r="T108" s="154">
        <f>GP-TE</f>
        <v>0</v>
      </c>
    </row>
    <row r="109" spans="1:20" x14ac:dyDescent="0.2">
      <c r="A109" s="9"/>
      <c r="B109" s="2" t="s">
        <v>527</v>
      </c>
      <c r="G109" s="41" t="s">
        <v>531</v>
      </c>
      <c r="H109" s="41"/>
      <c r="O109" s="24"/>
      <c r="P109" s="46"/>
      <c r="Q109" s="46"/>
      <c r="R109" s="44"/>
      <c r="S109" s="57"/>
      <c r="T109" s="107"/>
    </row>
    <row r="110" spans="1:20" x14ac:dyDescent="0.2">
      <c r="A110" s="9"/>
      <c r="B110" s="2" t="s">
        <v>534</v>
      </c>
      <c r="H110" s="41" t="s">
        <v>533</v>
      </c>
      <c r="O110" s="24"/>
      <c r="P110" s="47"/>
      <c r="Q110" s="47"/>
      <c r="R110" s="48"/>
      <c r="S110" s="58"/>
      <c r="T110" s="107"/>
    </row>
    <row r="111" spans="1:20" x14ac:dyDescent="0.2">
      <c r="A111" s="9"/>
      <c r="B111" t="s">
        <v>42</v>
      </c>
      <c r="L111" s="41" t="s">
        <v>532</v>
      </c>
      <c r="P111" s="48"/>
      <c r="Q111" s="48"/>
      <c r="R111" s="48"/>
      <c r="S111" s="59"/>
      <c r="T111" s="107"/>
    </row>
    <row r="112" spans="1:20" x14ac:dyDescent="0.2">
      <c r="A112" s="9"/>
      <c r="B112" s="1" t="s">
        <v>78</v>
      </c>
      <c r="I112" s="109" t="s">
        <v>528</v>
      </c>
      <c r="S112" s="23" t="s">
        <v>3</v>
      </c>
      <c r="T112" s="18">
        <f>OP+OI-INT-OEX</f>
        <v>0</v>
      </c>
    </row>
    <row r="113" spans="1:20" x14ac:dyDescent="0.2">
      <c r="A113" s="9"/>
      <c r="B113" t="s">
        <v>43</v>
      </c>
      <c r="G113" s="41" t="s">
        <v>529</v>
      </c>
      <c r="O113" s="24"/>
      <c r="P113" s="24"/>
      <c r="Q113" s="24"/>
      <c r="S113" s="7"/>
      <c r="T113" s="107"/>
    </row>
    <row r="114" spans="1:20" x14ac:dyDescent="0.2">
      <c r="A114" s="9"/>
      <c r="B114" s="150" t="s">
        <v>79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53" t="s">
        <v>3</v>
      </c>
      <c r="T114" s="154">
        <f>PBT-TAX</f>
        <v>0</v>
      </c>
    </row>
    <row r="116" spans="1:20" x14ac:dyDescent="0.2">
      <c r="B116" s="1" t="s">
        <v>547</v>
      </c>
    </row>
    <row r="117" spans="1:20" x14ac:dyDescent="0.2">
      <c r="B117" s="1" t="s">
        <v>548</v>
      </c>
      <c r="N117" s="184" t="s">
        <v>92</v>
      </c>
      <c r="O117" s="184"/>
      <c r="P117" s="184"/>
      <c r="Q117" s="184"/>
      <c r="R117" s="184"/>
    </row>
  </sheetData>
  <sheetProtection algorithmName="SHA-512" hashValue="/H+RlOzDWYxpXIDVkOn8vTtfYaob2P01DCHBAJLgm5mZrFKkEhNNd5g5k06SIU/WkJK274mgbCkYLFkQcTzT9w==" saltValue="g7cjaCW3kPnpoAl9cnkcgg==" spinCount="100000" sheet="1" selectLockedCells="1"/>
  <mergeCells count="15">
    <mergeCell ref="N117:R117"/>
    <mergeCell ref="L85:M85"/>
    <mergeCell ref="P30:T30"/>
    <mergeCell ref="P21:T21"/>
    <mergeCell ref="P23:T23"/>
    <mergeCell ref="P24:T24"/>
    <mergeCell ref="P25:T25"/>
    <mergeCell ref="P27:T27"/>
    <mergeCell ref="P28:T28"/>
    <mergeCell ref="K4:N4"/>
    <mergeCell ref="P26:T26"/>
    <mergeCell ref="P29:T29"/>
    <mergeCell ref="P22:T22"/>
    <mergeCell ref="M17:R17"/>
    <mergeCell ref="P18:R18"/>
  </mergeCells>
  <phoneticPr fontId="0" type="noConversion"/>
  <dataValidations count="1">
    <dataValidation type="list" allowBlank="1" showInputMessage="1" showErrorMessage="1" sqref="T58" xr:uid="{00000000-0002-0000-0000-000000000000}">
      <formula1>$Z$55:$Z$58</formula1>
    </dataValidation>
  </dataValidations>
  <hyperlinks>
    <hyperlink ref="P18" r:id="rId1" xr:uid="{00000000-0004-0000-0000-000000000000}"/>
    <hyperlink ref="B17" r:id="rId2" xr:uid="{00000000-0004-0000-0000-000001000000}"/>
    <hyperlink ref="M17" r:id="rId3" display="john@mackayresearchgroup.com" xr:uid="{00000000-0004-0000-0000-000002000000}"/>
    <hyperlink ref="M17:R17" r:id="rId4" display="taylor@mackayresearchgroup.com" xr:uid="{00000000-0004-0000-0000-000003000000}"/>
    <hyperlink ref="N117" r:id="rId5" xr:uid="{2DECBE40-6E82-431B-A855-03FA168C0FE9}"/>
  </hyperlinks>
  <pageMargins left="0.5" right="0.5" top="0.5" bottom="0.5" header="0.5" footer="0.5"/>
  <pageSetup scale="93" orientation="portrait" r:id="rId6"/>
  <headerFooter alignWithMargins="0"/>
  <rowBreaks count="1" manualBreakCount="1">
    <brk id="56" max="22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showGridLines="0" showRowColHeaders="0" zoomScale="90" zoomScaleNormal="85" zoomScaleSheetLayoutView="85" workbookViewId="0"/>
  </sheetViews>
  <sheetFormatPr defaultColWidth="0" defaultRowHeight="12.75" x14ac:dyDescent="0.2"/>
  <cols>
    <col min="1" max="1" width="3.7109375" customWidth="1"/>
    <col min="2" max="6" width="10.7109375" customWidth="1"/>
    <col min="7" max="7" width="2.7109375" customWidth="1"/>
    <col min="8" max="8" width="12.7109375" customWidth="1"/>
    <col min="9" max="9" width="2.7109375" customWidth="1"/>
    <col min="10" max="10" width="12.7109375" customWidth="1"/>
    <col min="11" max="11" width="2.7109375" customWidth="1"/>
  </cols>
  <sheetData>
    <row r="1" spans="1:11" ht="18" customHeight="1" x14ac:dyDescent="0.25">
      <c r="A1" s="15"/>
      <c r="B1" s="15"/>
      <c r="C1" s="15"/>
      <c r="D1" s="15"/>
      <c r="E1" s="39" t="s">
        <v>23</v>
      </c>
      <c r="F1" s="15"/>
      <c r="G1" s="15"/>
      <c r="H1" s="15"/>
      <c r="I1" s="15"/>
      <c r="J1" s="15"/>
      <c r="K1" s="15"/>
    </row>
    <row r="2" spans="1:11" ht="18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B3" s="2" t="s">
        <v>39</v>
      </c>
    </row>
    <row r="4" spans="1:11" ht="12.75" customHeight="1" x14ac:dyDescent="0.2">
      <c r="B4" t="s">
        <v>54</v>
      </c>
    </row>
    <row r="5" spans="1:11" x14ac:dyDescent="0.2">
      <c r="B5" t="s">
        <v>53</v>
      </c>
    </row>
    <row r="6" spans="1:11" x14ac:dyDescent="0.2">
      <c r="B6" t="s">
        <v>24</v>
      </c>
    </row>
    <row r="8" spans="1:11" x14ac:dyDescent="0.2">
      <c r="B8" s="1" t="s">
        <v>22</v>
      </c>
    </row>
    <row r="10" spans="1:11" x14ac:dyDescent="0.2">
      <c r="A10" s="38" t="s">
        <v>18</v>
      </c>
      <c r="B10" s="2" t="s">
        <v>55</v>
      </c>
    </row>
    <row r="11" spans="1:11" x14ac:dyDescent="0.2">
      <c r="A11" s="38"/>
      <c r="B11" s="2" t="s">
        <v>63</v>
      </c>
    </row>
    <row r="12" spans="1:11" x14ac:dyDescent="0.2">
      <c r="A12" s="38"/>
      <c r="B12" s="2" t="s">
        <v>56</v>
      </c>
    </row>
    <row r="13" spans="1:11" x14ac:dyDescent="0.2">
      <c r="A13" s="38"/>
      <c r="B13" s="2" t="s">
        <v>57</v>
      </c>
    </row>
    <row r="14" spans="1:11" x14ac:dyDescent="0.2">
      <c r="A14" s="38"/>
    </row>
    <row r="15" spans="1:11" x14ac:dyDescent="0.2">
      <c r="A15" s="38" t="s">
        <v>19</v>
      </c>
      <c r="B15" s="2" t="s">
        <v>27</v>
      </c>
    </row>
    <row r="16" spans="1:11" x14ac:dyDescent="0.2">
      <c r="A16" s="38"/>
      <c r="B16" s="2" t="s">
        <v>103</v>
      </c>
    </row>
    <row r="17" spans="1:2" x14ac:dyDescent="0.2">
      <c r="A17" s="38"/>
      <c r="B17" s="2" t="s">
        <v>102</v>
      </c>
    </row>
    <row r="18" spans="1:2" x14ac:dyDescent="0.2">
      <c r="A18" s="38"/>
    </row>
    <row r="19" spans="1:2" x14ac:dyDescent="0.2">
      <c r="A19" s="38" t="s">
        <v>20</v>
      </c>
      <c r="B19" s="2" t="s">
        <v>25</v>
      </c>
    </row>
    <row r="20" spans="1:2" x14ac:dyDescent="0.2">
      <c r="A20" s="38"/>
      <c r="B20" s="2" t="s">
        <v>26</v>
      </c>
    </row>
    <row r="22" spans="1:2" x14ac:dyDescent="0.2">
      <c r="B22" s="2" t="s">
        <v>58</v>
      </c>
    </row>
    <row r="23" spans="1:2" x14ac:dyDescent="0.2">
      <c r="B23" s="2" t="s">
        <v>28</v>
      </c>
    </row>
    <row r="24" spans="1:2" x14ac:dyDescent="0.2">
      <c r="B24" s="2" t="s">
        <v>29</v>
      </c>
    </row>
    <row r="25" spans="1:2" x14ac:dyDescent="0.2">
      <c r="B25" s="2" t="s">
        <v>59</v>
      </c>
    </row>
    <row r="26" spans="1:2" x14ac:dyDescent="0.2">
      <c r="B26" s="2" t="s">
        <v>60</v>
      </c>
    </row>
  </sheetData>
  <sheetProtection password="CF42" sheet="1" objects="1" scenarios="1" selectLockedCells="1"/>
  <phoneticPr fontId="0" type="noConversion"/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8"/>
  <sheetViews>
    <sheetView showGridLines="0" showRowColHeaders="0" zoomScaleNormal="100" workbookViewId="0"/>
  </sheetViews>
  <sheetFormatPr defaultColWidth="0" defaultRowHeight="12.75" x14ac:dyDescent="0.2"/>
  <cols>
    <col min="1" max="1" width="3.7109375" customWidth="1"/>
    <col min="2" max="7" width="5.7109375" customWidth="1"/>
    <col min="8" max="8" width="15.7109375" customWidth="1"/>
    <col min="9" max="9" width="2.7109375" customWidth="1"/>
    <col min="10" max="10" width="15.7109375" customWidth="1"/>
    <col min="11" max="11" width="2.7109375" customWidth="1"/>
    <col min="12" max="12" width="15.7109375" customWidth="1"/>
    <col min="13" max="13" width="2.7109375" customWidth="1"/>
  </cols>
  <sheetData>
    <row r="1" spans="1:13" ht="22.5" x14ac:dyDescent="0.45">
      <c r="A1" s="15"/>
      <c r="B1" s="79" t="s">
        <v>291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6" customHeight="1" x14ac:dyDescent="0.2">
      <c r="A2" s="65"/>
      <c r="B2" s="6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 customHeight="1" x14ac:dyDescent="0.25">
      <c r="A3" s="67"/>
      <c r="B3" s="80" t="s">
        <v>292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">
      <c r="A4" s="1"/>
    </row>
    <row r="5" spans="1:13" ht="19.5" x14ac:dyDescent="0.2">
      <c r="A5" s="81"/>
      <c r="B5" s="78" t="s">
        <v>293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4.25" x14ac:dyDescent="0.2">
      <c r="A6" s="40"/>
      <c r="B6" s="82" t="s">
        <v>294</v>
      </c>
    </row>
    <row r="7" spans="1:13" ht="14.25" x14ac:dyDescent="0.2">
      <c r="A7" s="38"/>
      <c r="B7" s="82" t="s">
        <v>295</v>
      </c>
    </row>
    <row r="8" spans="1:13" ht="14.25" x14ac:dyDescent="0.2">
      <c r="A8" s="38"/>
      <c r="B8" s="82" t="s">
        <v>296</v>
      </c>
    </row>
    <row r="9" spans="1:13" ht="6" customHeight="1" x14ac:dyDescent="0.2">
      <c r="B9" s="83"/>
    </row>
    <row r="10" spans="1:13" ht="15" x14ac:dyDescent="0.2">
      <c r="A10" s="40"/>
      <c r="B10" s="84" t="s">
        <v>443</v>
      </c>
    </row>
    <row r="11" spans="1:13" ht="14.25" x14ac:dyDescent="0.2">
      <c r="A11" s="40"/>
      <c r="B11" s="82" t="s">
        <v>297</v>
      </c>
    </row>
    <row r="12" spans="1:13" ht="6" customHeight="1" x14ac:dyDescent="0.2">
      <c r="A12" s="40"/>
      <c r="B12" s="83"/>
    </row>
    <row r="13" spans="1:13" ht="15" x14ac:dyDescent="0.2">
      <c r="A13" s="40"/>
      <c r="B13" s="84" t="s">
        <v>444</v>
      </c>
    </row>
    <row r="14" spans="1:13" ht="14.25" x14ac:dyDescent="0.2">
      <c r="A14" s="40"/>
      <c r="B14" s="82" t="s">
        <v>298</v>
      </c>
    </row>
    <row r="15" spans="1:13" ht="6" customHeight="1" x14ac:dyDescent="0.2">
      <c r="A15" s="40"/>
      <c r="B15" s="69"/>
    </row>
    <row r="16" spans="1:13" ht="15" x14ac:dyDescent="0.2">
      <c r="A16" s="40"/>
      <c r="B16" s="84" t="s">
        <v>445</v>
      </c>
    </row>
    <row r="17" spans="1:12" ht="6" customHeight="1" x14ac:dyDescent="0.2">
      <c r="A17" s="40"/>
      <c r="B17" s="69"/>
    </row>
    <row r="18" spans="1:12" ht="15" x14ac:dyDescent="0.2">
      <c r="A18" s="40"/>
      <c r="B18" s="84" t="s">
        <v>446</v>
      </c>
    </row>
    <row r="19" spans="1:12" ht="14.25" x14ac:dyDescent="0.2">
      <c r="A19" s="40"/>
      <c r="B19" s="82" t="s">
        <v>299</v>
      </c>
    </row>
    <row r="20" spans="1:12" ht="6" customHeight="1" x14ac:dyDescent="0.2">
      <c r="A20" s="40"/>
      <c r="B20" s="69"/>
    </row>
    <row r="21" spans="1:12" ht="15" x14ac:dyDescent="0.2">
      <c r="A21" s="38"/>
      <c r="B21" s="84" t="s">
        <v>447</v>
      </c>
    </row>
    <row r="22" spans="1:12" ht="14.25" x14ac:dyDescent="0.2">
      <c r="B22" s="82" t="s">
        <v>300</v>
      </c>
    </row>
    <row r="23" spans="1:12" ht="14.25" x14ac:dyDescent="0.2">
      <c r="A23" s="85"/>
      <c r="B23" s="82" t="s">
        <v>301</v>
      </c>
    </row>
    <row r="24" spans="1:12" ht="6" customHeight="1" x14ac:dyDescent="0.2">
      <c r="A24" s="85"/>
      <c r="B24" s="69"/>
    </row>
    <row r="25" spans="1:12" ht="15" x14ac:dyDescent="0.2">
      <c r="A25" s="85"/>
      <c r="B25" s="84" t="s">
        <v>448</v>
      </c>
    </row>
    <row r="26" spans="1:12" ht="6" customHeight="1" x14ac:dyDescent="0.2">
      <c r="A26" s="85"/>
      <c r="B26" s="69"/>
    </row>
    <row r="27" spans="1:12" ht="15" x14ac:dyDescent="0.2">
      <c r="A27" s="85"/>
      <c r="B27" s="84" t="s">
        <v>47</v>
      </c>
    </row>
    <row r="28" spans="1:12" x14ac:dyDescent="0.2">
      <c r="A28" s="85"/>
      <c r="B28" s="1"/>
    </row>
    <row r="29" spans="1:12" ht="19.5" x14ac:dyDescent="0.2">
      <c r="A29" s="85"/>
      <c r="B29" s="78" t="s">
        <v>68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4.25" x14ac:dyDescent="0.2">
      <c r="A30" s="85"/>
      <c r="B30" s="82" t="s">
        <v>302</v>
      </c>
    </row>
    <row r="31" spans="1:12" ht="6" customHeight="1" x14ac:dyDescent="0.2">
      <c r="A31" s="85"/>
      <c r="B31" s="82"/>
    </row>
    <row r="32" spans="1:12" ht="15" x14ac:dyDescent="0.2">
      <c r="A32" s="85"/>
      <c r="B32" s="84" t="s">
        <v>449</v>
      </c>
    </row>
    <row r="33" spans="1:2" ht="14.25" x14ac:dyDescent="0.2">
      <c r="A33" s="85"/>
      <c r="B33" s="82" t="s">
        <v>303</v>
      </c>
    </row>
    <row r="34" spans="1:2" ht="14.25" x14ac:dyDescent="0.2">
      <c r="A34" s="85"/>
      <c r="B34" s="82" t="s">
        <v>304</v>
      </c>
    </row>
    <row r="35" spans="1:2" ht="6" customHeight="1" x14ac:dyDescent="0.2">
      <c r="A35" s="85"/>
      <c r="B35" s="84"/>
    </row>
    <row r="36" spans="1:2" ht="15" x14ac:dyDescent="0.2">
      <c r="A36" s="85"/>
      <c r="B36" s="84" t="s">
        <v>450</v>
      </c>
    </row>
    <row r="37" spans="1:2" ht="14.25" x14ac:dyDescent="0.2">
      <c r="A37" s="85"/>
      <c r="B37" s="82" t="s">
        <v>305</v>
      </c>
    </row>
    <row r="38" spans="1:2" ht="6" customHeight="1" x14ac:dyDescent="0.2">
      <c r="A38" s="85"/>
      <c r="B38" s="84"/>
    </row>
    <row r="39" spans="1:2" ht="15" x14ac:dyDescent="0.2">
      <c r="A39" s="85"/>
      <c r="B39" s="84" t="s">
        <v>451</v>
      </c>
    </row>
    <row r="40" spans="1:2" ht="14.25" x14ac:dyDescent="0.2">
      <c r="A40" s="85"/>
      <c r="B40" s="82" t="s">
        <v>306</v>
      </c>
    </row>
    <row r="41" spans="1:2" ht="14.25" x14ac:dyDescent="0.2">
      <c r="A41" s="85"/>
      <c r="B41" s="82" t="s">
        <v>307</v>
      </c>
    </row>
    <row r="42" spans="1:2" ht="14.25" x14ac:dyDescent="0.2">
      <c r="A42" s="85"/>
      <c r="B42" s="82" t="s">
        <v>308</v>
      </c>
    </row>
    <row r="43" spans="1:2" ht="6" customHeight="1" x14ac:dyDescent="0.2">
      <c r="A43" s="85"/>
      <c r="B43" s="84"/>
    </row>
    <row r="44" spans="1:2" ht="15" x14ac:dyDescent="0.2">
      <c r="B44" s="84" t="s">
        <v>452</v>
      </c>
    </row>
    <row r="45" spans="1:2" ht="14.25" x14ac:dyDescent="0.2">
      <c r="B45" s="82" t="s">
        <v>309</v>
      </c>
    </row>
    <row r="46" spans="1:2" ht="14.25" x14ac:dyDescent="0.2">
      <c r="B46" s="82" t="s">
        <v>310</v>
      </c>
    </row>
    <row r="47" spans="1:2" ht="6" customHeight="1" x14ac:dyDescent="0.2">
      <c r="B47" s="84"/>
    </row>
    <row r="48" spans="1:2" ht="15" x14ac:dyDescent="0.2">
      <c r="A48" s="7"/>
      <c r="B48" s="84" t="s">
        <v>453</v>
      </c>
    </row>
    <row r="49" spans="1:12" ht="14.25" x14ac:dyDescent="0.2">
      <c r="A49" s="7"/>
      <c r="B49" s="82" t="s">
        <v>311</v>
      </c>
    </row>
    <row r="50" spans="1:12" ht="14.25" x14ac:dyDescent="0.2">
      <c r="A50" s="7"/>
      <c r="B50" s="82" t="s">
        <v>312</v>
      </c>
    </row>
    <row r="51" spans="1:12" ht="6" customHeight="1" x14ac:dyDescent="0.2">
      <c r="A51" s="7"/>
      <c r="B51" s="84"/>
    </row>
    <row r="52" spans="1:12" ht="15" x14ac:dyDescent="0.2">
      <c r="A52" s="85"/>
      <c r="B52" s="84" t="s">
        <v>454</v>
      </c>
    </row>
    <row r="53" spans="1:12" ht="14.25" x14ac:dyDescent="0.2">
      <c r="A53" s="85"/>
      <c r="B53" s="82" t="s">
        <v>313</v>
      </c>
    </row>
    <row r="54" spans="1:12" ht="6" customHeight="1" x14ac:dyDescent="0.2">
      <c r="A54" s="85"/>
      <c r="B54" s="84"/>
    </row>
    <row r="55" spans="1:12" ht="15" x14ac:dyDescent="0.2">
      <c r="B55" s="84" t="s">
        <v>455</v>
      </c>
    </row>
    <row r="56" spans="1:12" ht="14.25" x14ac:dyDescent="0.2">
      <c r="B56" s="82" t="s">
        <v>314</v>
      </c>
    </row>
    <row r="57" spans="1:12" ht="6" customHeight="1" x14ac:dyDescent="0.2">
      <c r="B57" s="84"/>
    </row>
    <row r="58" spans="1:12" ht="15" x14ac:dyDescent="0.2">
      <c r="A58" s="85"/>
      <c r="B58" s="84" t="s">
        <v>315</v>
      </c>
    </row>
    <row r="59" spans="1:12" ht="6" customHeight="1" x14ac:dyDescent="0.2">
      <c r="A59" s="85"/>
      <c r="B59" s="84"/>
    </row>
    <row r="60" spans="1:12" ht="15" x14ac:dyDescent="0.2">
      <c r="B60" s="84" t="s">
        <v>316</v>
      </c>
    </row>
    <row r="61" spans="1:12" x14ac:dyDescent="0.2">
      <c r="B61" s="2"/>
    </row>
    <row r="62" spans="1:12" ht="18.75" x14ac:dyDescent="0.2">
      <c r="A62" s="7"/>
      <c r="B62" s="86" t="s">
        <v>317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4.25" x14ac:dyDescent="0.2">
      <c r="A63" s="7"/>
      <c r="B63" s="82" t="s">
        <v>318</v>
      </c>
    </row>
    <row r="64" spans="1:12" x14ac:dyDescent="0.2">
      <c r="A64" s="7"/>
      <c r="B64" s="2"/>
    </row>
    <row r="65" spans="1:12" x14ac:dyDescent="0.2">
      <c r="A65" s="7"/>
      <c r="B65" s="1"/>
    </row>
    <row r="66" spans="1:12" ht="19.5" x14ac:dyDescent="0.4">
      <c r="A66" s="7"/>
      <c r="B66" s="87" t="s">
        <v>319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4.25" x14ac:dyDescent="0.2">
      <c r="A67" s="7"/>
      <c r="B67" s="88" t="s">
        <v>320</v>
      </c>
    </row>
    <row r="68" spans="1:12" ht="14.25" x14ac:dyDescent="0.2">
      <c r="A68" s="7"/>
      <c r="B68" s="88" t="s">
        <v>321</v>
      </c>
    </row>
    <row r="69" spans="1:12" ht="6" customHeight="1" x14ac:dyDescent="0.2">
      <c r="A69" s="7"/>
      <c r="B69" s="88"/>
    </row>
    <row r="70" spans="1:12" ht="14.25" x14ac:dyDescent="0.2">
      <c r="A70" s="7"/>
      <c r="B70" s="88" t="s">
        <v>322</v>
      </c>
    </row>
    <row r="71" spans="1:12" ht="14.25" x14ac:dyDescent="0.2">
      <c r="A71" s="7"/>
      <c r="B71" s="88" t="s">
        <v>323</v>
      </c>
    </row>
    <row r="72" spans="1:12" ht="14.25" x14ac:dyDescent="0.2">
      <c r="A72" s="7"/>
      <c r="B72" s="88" t="s">
        <v>324</v>
      </c>
    </row>
    <row r="73" spans="1:12" ht="14.25" x14ac:dyDescent="0.2">
      <c r="A73" s="7"/>
      <c r="B73" s="88" t="s">
        <v>325</v>
      </c>
    </row>
    <row r="74" spans="1:12" ht="14.25" x14ac:dyDescent="0.2">
      <c r="A74" s="7"/>
      <c r="B74" s="88"/>
    </row>
    <row r="75" spans="1:12" ht="15" x14ac:dyDescent="0.25">
      <c r="A75" s="7"/>
      <c r="B75" s="89" t="s">
        <v>456</v>
      </c>
    </row>
    <row r="76" spans="1:12" ht="6" customHeight="1" x14ac:dyDescent="0.25">
      <c r="A76" s="7"/>
      <c r="B76" s="89"/>
    </row>
    <row r="77" spans="1:12" ht="14.25" x14ac:dyDescent="0.2">
      <c r="A77" s="7"/>
      <c r="B77" s="88" t="s">
        <v>326</v>
      </c>
    </row>
    <row r="78" spans="1:12" ht="14.25" x14ac:dyDescent="0.2">
      <c r="A78" s="7"/>
      <c r="B78" s="88" t="s">
        <v>327</v>
      </c>
    </row>
    <row r="79" spans="1:12" ht="14.25" x14ac:dyDescent="0.2">
      <c r="A79" s="7"/>
      <c r="B79" s="88" t="s">
        <v>328</v>
      </c>
    </row>
    <row r="80" spans="1:12" ht="6" customHeight="1" x14ac:dyDescent="0.2">
      <c r="A80" s="7"/>
      <c r="B80" s="88"/>
    </row>
    <row r="81" spans="1:12" ht="14.25" x14ac:dyDescent="0.2">
      <c r="A81" s="7"/>
      <c r="B81" s="88" t="s">
        <v>329</v>
      </c>
    </row>
    <row r="82" spans="1:12" ht="14.25" x14ac:dyDescent="0.2">
      <c r="A82" s="7"/>
      <c r="B82" s="88" t="s">
        <v>330</v>
      </c>
    </row>
    <row r="83" spans="1:12" ht="14.25" x14ac:dyDescent="0.2">
      <c r="A83" s="7"/>
      <c r="B83" s="88" t="s">
        <v>331</v>
      </c>
    </row>
    <row r="84" spans="1:12" ht="6" customHeight="1" x14ac:dyDescent="0.2">
      <c r="A84" s="7"/>
      <c r="B84" s="88"/>
    </row>
    <row r="85" spans="1:12" ht="14.25" x14ac:dyDescent="0.2">
      <c r="A85" s="7"/>
      <c r="B85" s="88" t="s">
        <v>332</v>
      </c>
    </row>
    <row r="86" spans="1:12" ht="14.25" x14ac:dyDescent="0.2">
      <c r="A86" s="7"/>
      <c r="B86" s="88"/>
    </row>
    <row r="87" spans="1:12" ht="15" x14ac:dyDescent="0.25">
      <c r="A87" s="7"/>
      <c r="B87" s="89" t="s">
        <v>457</v>
      </c>
    </row>
    <row r="88" spans="1:12" ht="14.25" x14ac:dyDescent="0.2">
      <c r="A88" s="7"/>
      <c r="B88" s="88" t="s">
        <v>333</v>
      </c>
    </row>
    <row r="89" spans="1:12" ht="14.25" x14ac:dyDescent="0.2">
      <c r="A89" s="7"/>
      <c r="B89" s="88" t="s">
        <v>334</v>
      </c>
    </row>
    <row r="90" spans="1:12" ht="14.25" x14ac:dyDescent="0.2">
      <c r="B90" s="88" t="s">
        <v>335</v>
      </c>
    </row>
    <row r="91" spans="1:12" ht="14.25" x14ac:dyDescent="0.2">
      <c r="B91" s="88" t="s">
        <v>336</v>
      </c>
    </row>
    <row r="92" spans="1:12" ht="14.25" x14ac:dyDescent="0.2">
      <c r="B92" s="88" t="s">
        <v>332</v>
      </c>
    </row>
    <row r="93" spans="1:12" x14ac:dyDescent="0.2">
      <c r="B93" s="2"/>
    </row>
    <row r="94" spans="1:12" ht="19.5" x14ac:dyDescent="0.2">
      <c r="A94" s="7"/>
      <c r="B94" s="78" t="s">
        <v>337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 x14ac:dyDescent="0.2">
      <c r="A95" s="7"/>
      <c r="B95" s="90"/>
    </row>
    <row r="96" spans="1:12" ht="15" x14ac:dyDescent="0.2">
      <c r="B96" s="91" t="s">
        <v>4</v>
      </c>
      <c r="C96" s="15"/>
      <c r="D96" s="15"/>
      <c r="E96" s="15"/>
      <c r="F96" s="15"/>
    </row>
    <row r="97" spans="1:3" ht="15" x14ac:dyDescent="0.2">
      <c r="A97" s="92" t="s">
        <v>338</v>
      </c>
      <c r="B97" s="84" t="s">
        <v>458</v>
      </c>
    </row>
    <row r="98" spans="1:3" ht="14.25" x14ac:dyDescent="0.2">
      <c r="A98" s="69"/>
      <c r="B98" s="82" t="s">
        <v>339</v>
      </c>
    </row>
    <row r="99" spans="1:3" ht="6" customHeight="1" x14ac:dyDescent="0.2">
      <c r="A99" s="69"/>
      <c r="B99" s="82"/>
    </row>
    <row r="100" spans="1:3" ht="15" x14ac:dyDescent="0.2">
      <c r="A100" s="92" t="s">
        <v>340</v>
      </c>
      <c r="B100" s="84" t="s">
        <v>459</v>
      </c>
    </row>
    <row r="101" spans="1:3" ht="14.25" x14ac:dyDescent="0.2">
      <c r="A101" s="69"/>
      <c r="B101" s="82" t="s">
        <v>341</v>
      </c>
    </row>
    <row r="102" spans="1:3" ht="14.25" x14ac:dyDescent="0.2">
      <c r="A102" s="69"/>
      <c r="B102" s="82" t="s">
        <v>342</v>
      </c>
    </row>
    <row r="103" spans="1:3" ht="6" customHeight="1" x14ac:dyDescent="0.2">
      <c r="A103" s="69"/>
    </row>
    <row r="104" spans="1:3" ht="15" x14ac:dyDescent="0.2">
      <c r="A104" s="92" t="s">
        <v>343</v>
      </c>
      <c r="B104" s="82" t="s">
        <v>460</v>
      </c>
    </row>
    <row r="105" spans="1:3" ht="6" customHeight="1" x14ac:dyDescent="0.2">
      <c r="A105" s="92"/>
      <c r="B105" s="82"/>
    </row>
    <row r="106" spans="1:3" ht="15" x14ac:dyDescent="0.2">
      <c r="A106" s="92" t="s">
        <v>344</v>
      </c>
      <c r="B106" s="84" t="s">
        <v>461</v>
      </c>
    </row>
    <row r="107" spans="1:3" ht="14.25" x14ac:dyDescent="0.2">
      <c r="A107" s="92"/>
      <c r="B107" s="82" t="s">
        <v>345</v>
      </c>
    </row>
    <row r="108" spans="1:3" ht="14.25" x14ac:dyDescent="0.2">
      <c r="A108" s="92"/>
      <c r="B108" s="82" t="s">
        <v>346</v>
      </c>
    </row>
    <row r="109" spans="1:3" ht="6" customHeight="1" x14ac:dyDescent="0.2">
      <c r="A109" s="92"/>
      <c r="B109" s="82"/>
    </row>
    <row r="110" spans="1:3" ht="15.75" x14ac:dyDescent="0.2">
      <c r="A110" s="92" t="s">
        <v>347</v>
      </c>
      <c r="B110" s="102" t="s">
        <v>462</v>
      </c>
      <c r="C110" s="93"/>
    </row>
    <row r="111" spans="1:3" ht="6" customHeight="1" x14ac:dyDescent="0.2">
      <c r="A111" s="92"/>
      <c r="B111" s="82"/>
      <c r="C111" s="93"/>
    </row>
    <row r="112" spans="1:3" ht="15" x14ac:dyDescent="0.2">
      <c r="A112" s="92" t="s">
        <v>348</v>
      </c>
      <c r="B112" s="84" t="s">
        <v>463</v>
      </c>
      <c r="C112" s="93"/>
    </row>
    <row r="113" spans="1:6" ht="14.25" x14ac:dyDescent="0.2">
      <c r="A113" s="92"/>
      <c r="B113" s="82" t="s">
        <v>349</v>
      </c>
      <c r="C113" s="93"/>
    </row>
    <row r="114" spans="1:6" ht="14.25" x14ac:dyDescent="0.2">
      <c r="A114" s="92"/>
      <c r="B114" s="82" t="s">
        <v>350</v>
      </c>
      <c r="C114" s="93"/>
    </row>
    <row r="115" spans="1:6" ht="6" customHeight="1" x14ac:dyDescent="0.2">
      <c r="A115" s="92"/>
      <c r="B115" s="82"/>
      <c r="C115" s="93"/>
    </row>
    <row r="116" spans="1:6" ht="15" x14ac:dyDescent="0.2">
      <c r="A116" s="92" t="s">
        <v>351</v>
      </c>
      <c r="B116" s="84" t="s">
        <v>464</v>
      </c>
      <c r="C116" s="93"/>
    </row>
    <row r="117" spans="1:6" ht="14.25" x14ac:dyDescent="0.2">
      <c r="A117" s="92"/>
      <c r="B117" s="82" t="s">
        <v>352</v>
      </c>
      <c r="C117" s="93"/>
    </row>
    <row r="118" spans="1:6" ht="14.25" x14ac:dyDescent="0.2">
      <c r="A118" s="92"/>
      <c r="B118" s="82" t="s">
        <v>353</v>
      </c>
      <c r="C118" s="93"/>
    </row>
    <row r="119" spans="1:6" ht="6" customHeight="1" x14ac:dyDescent="0.2">
      <c r="A119" s="92"/>
      <c r="B119" s="82"/>
      <c r="C119" s="93"/>
    </row>
    <row r="120" spans="1:6" ht="15" x14ac:dyDescent="0.2">
      <c r="A120" s="92" t="s">
        <v>354</v>
      </c>
      <c r="B120" s="84" t="s">
        <v>355</v>
      </c>
      <c r="C120" s="93"/>
    </row>
    <row r="121" spans="1:6" ht="14.25" x14ac:dyDescent="0.2">
      <c r="A121" s="92"/>
      <c r="B121" s="82"/>
      <c r="C121" s="93"/>
    </row>
    <row r="122" spans="1:6" ht="15" x14ac:dyDescent="0.2">
      <c r="A122" s="7"/>
      <c r="B122" s="91" t="s">
        <v>356</v>
      </c>
      <c r="C122" s="94"/>
      <c r="D122" s="15"/>
      <c r="E122" s="15"/>
      <c r="F122" s="15"/>
    </row>
    <row r="123" spans="1:6" ht="15" x14ac:dyDescent="0.2">
      <c r="A123" s="92" t="s">
        <v>357</v>
      </c>
      <c r="B123" s="84" t="s">
        <v>465</v>
      </c>
      <c r="C123" s="93"/>
    </row>
    <row r="124" spans="1:6" ht="14.25" x14ac:dyDescent="0.2">
      <c r="A124" s="92"/>
      <c r="B124" s="82" t="s">
        <v>358</v>
      </c>
      <c r="C124" s="93"/>
    </row>
    <row r="125" spans="1:6" ht="6" customHeight="1" x14ac:dyDescent="0.2">
      <c r="A125" s="92"/>
      <c r="B125" s="82"/>
      <c r="C125" s="93"/>
    </row>
    <row r="126" spans="1:6" ht="15" x14ac:dyDescent="0.2">
      <c r="A126" s="92" t="s">
        <v>359</v>
      </c>
      <c r="B126" s="84" t="s">
        <v>466</v>
      </c>
      <c r="C126" s="93"/>
    </row>
    <row r="127" spans="1:6" ht="14.25" x14ac:dyDescent="0.2">
      <c r="A127" s="92"/>
      <c r="B127" s="82" t="s">
        <v>360</v>
      </c>
      <c r="C127" s="93"/>
    </row>
    <row r="128" spans="1:6" ht="14.25" x14ac:dyDescent="0.2">
      <c r="A128" s="92"/>
      <c r="B128" s="82" t="s">
        <v>361</v>
      </c>
      <c r="C128" s="93"/>
    </row>
    <row r="129" spans="1:3" ht="14.25" x14ac:dyDescent="0.2">
      <c r="A129" s="92"/>
      <c r="B129" s="82" t="s">
        <v>362</v>
      </c>
      <c r="C129" s="93"/>
    </row>
    <row r="130" spans="1:3" ht="6" customHeight="1" x14ac:dyDescent="0.2">
      <c r="A130" s="92"/>
      <c r="B130" s="82"/>
      <c r="C130" s="93"/>
    </row>
    <row r="131" spans="1:3" ht="15" x14ac:dyDescent="0.2">
      <c r="A131" s="92" t="s">
        <v>363</v>
      </c>
      <c r="B131" s="84" t="s">
        <v>467</v>
      </c>
      <c r="C131" s="93"/>
    </row>
    <row r="132" spans="1:3" ht="6" customHeight="1" x14ac:dyDescent="0.2">
      <c r="A132" s="92"/>
      <c r="B132" s="82"/>
      <c r="C132" s="93"/>
    </row>
    <row r="133" spans="1:3" ht="15" x14ac:dyDescent="0.2">
      <c r="A133" s="92" t="s">
        <v>364</v>
      </c>
      <c r="B133" s="84" t="s">
        <v>365</v>
      </c>
      <c r="C133" s="93"/>
    </row>
    <row r="134" spans="1:3" ht="6" customHeight="1" x14ac:dyDescent="0.2">
      <c r="A134" s="92"/>
      <c r="B134" s="82"/>
      <c r="C134" s="93"/>
    </row>
    <row r="135" spans="1:3" ht="15" x14ac:dyDescent="0.2">
      <c r="A135" s="92" t="s">
        <v>366</v>
      </c>
      <c r="B135" s="84" t="s">
        <v>468</v>
      </c>
      <c r="C135" s="93"/>
    </row>
    <row r="136" spans="1:3" ht="14.25" x14ac:dyDescent="0.2">
      <c r="A136" s="92"/>
      <c r="B136" s="82" t="s">
        <v>367</v>
      </c>
      <c r="C136" s="93"/>
    </row>
    <row r="137" spans="1:3" ht="14.25" x14ac:dyDescent="0.2">
      <c r="A137" s="92"/>
      <c r="B137" s="82" t="s">
        <v>368</v>
      </c>
      <c r="C137" s="93"/>
    </row>
    <row r="138" spans="1:3" ht="6" customHeight="1" x14ac:dyDescent="0.2">
      <c r="A138" s="92"/>
      <c r="B138" s="82"/>
      <c r="C138" s="93"/>
    </row>
    <row r="139" spans="1:3" ht="15" x14ac:dyDescent="0.2">
      <c r="A139" s="92" t="s">
        <v>369</v>
      </c>
      <c r="B139" s="84" t="s">
        <v>469</v>
      </c>
      <c r="C139" s="93"/>
    </row>
    <row r="140" spans="1:3" ht="14.25" x14ac:dyDescent="0.2">
      <c r="A140" s="92"/>
      <c r="B140" s="82" t="s">
        <v>370</v>
      </c>
      <c r="C140" s="93"/>
    </row>
    <row r="141" spans="1:3" ht="6" customHeight="1" x14ac:dyDescent="0.2">
      <c r="A141" s="92"/>
      <c r="B141" s="82"/>
      <c r="C141" s="93"/>
    </row>
    <row r="142" spans="1:3" ht="15" x14ac:dyDescent="0.2">
      <c r="A142" s="92" t="s">
        <v>371</v>
      </c>
      <c r="B142" s="84" t="s">
        <v>470</v>
      </c>
      <c r="C142" s="93"/>
    </row>
    <row r="143" spans="1:3" ht="14.25" x14ac:dyDescent="0.2">
      <c r="A143" s="92"/>
      <c r="B143" s="82" t="s">
        <v>372</v>
      </c>
      <c r="C143" s="93"/>
    </row>
    <row r="144" spans="1:3" ht="14.25" x14ac:dyDescent="0.2">
      <c r="A144" s="92"/>
      <c r="B144" s="82" t="s">
        <v>373</v>
      </c>
      <c r="C144" s="93"/>
    </row>
    <row r="145" spans="1:12" ht="14.25" x14ac:dyDescent="0.2">
      <c r="A145" s="92"/>
      <c r="B145" s="82" t="s">
        <v>374</v>
      </c>
      <c r="C145" s="93"/>
    </row>
    <row r="146" spans="1:12" ht="14.25" x14ac:dyDescent="0.2">
      <c r="A146" s="92"/>
      <c r="B146" s="82" t="s">
        <v>375</v>
      </c>
      <c r="C146" s="93"/>
    </row>
    <row r="147" spans="1:12" ht="14.25" x14ac:dyDescent="0.2">
      <c r="A147" s="92"/>
      <c r="B147" s="82" t="s">
        <v>376</v>
      </c>
      <c r="C147" s="93"/>
    </row>
    <row r="148" spans="1:12" ht="6" customHeight="1" x14ac:dyDescent="0.2">
      <c r="A148" s="92"/>
      <c r="B148" s="82"/>
      <c r="C148" s="93"/>
    </row>
    <row r="149" spans="1:12" ht="15" x14ac:dyDescent="0.2">
      <c r="A149" s="7" t="s">
        <v>377</v>
      </c>
      <c r="B149" s="84" t="s">
        <v>378</v>
      </c>
      <c r="C149" s="93"/>
    </row>
    <row r="150" spans="1:12" ht="14.25" x14ac:dyDescent="0.2">
      <c r="A150" s="7"/>
      <c r="B150" s="82" t="s">
        <v>379</v>
      </c>
      <c r="C150" s="93"/>
    </row>
    <row r="151" spans="1:12" ht="14.25" x14ac:dyDescent="0.2">
      <c r="A151" s="7"/>
      <c r="B151" s="82" t="s">
        <v>380</v>
      </c>
      <c r="C151" s="93"/>
    </row>
    <row r="152" spans="1:12" ht="15" x14ac:dyDescent="0.2">
      <c r="A152" s="7"/>
      <c r="B152" s="84"/>
      <c r="C152" s="93"/>
    </row>
    <row r="153" spans="1:12" ht="19.5" x14ac:dyDescent="0.2">
      <c r="A153" s="7"/>
      <c r="B153" s="90" t="s">
        <v>381</v>
      </c>
      <c r="C153" s="93"/>
    </row>
    <row r="154" spans="1:12" x14ac:dyDescent="0.2">
      <c r="A154" s="7"/>
      <c r="B154" s="2"/>
      <c r="C154" s="93"/>
    </row>
    <row r="155" spans="1:12" ht="19.5" x14ac:dyDescent="0.4">
      <c r="A155" s="7"/>
      <c r="B155" s="87" t="s">
        <v>382</v>
      </c>
      <c r="C155" s="94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 customHeight="1" x14ac:dyDescent="0.4">
      <c r="A156" s="7"/>
      <c r="B156" s="29"/>
      <c r="C156" s="93"/>
    </row>
    <row r="157" spans="1:12" ht="15" x14ac:dyDescent="0.2">
      <c r="A157" s="92" t="s">
        <v>338</v>
      </c>
      <c r="B157" s="95" t="s">
        <v>471</v>
      </c>
      <c r="C157" s="96"/>
    </row>
    <row r="158" spans="1:12" ht="14.25" x14ac:dyDescent="0.2">
      <c r="A158" s="92"/>
      <c r="B158" s="97"/>
      <c r="C158" s="96"/>
    </row>
    <row r="159" spans="1:12" ht="15" x14ac:dyDescent="0.2">
      <c r="A159" s="69"/>
      <c r="B159" s="91" t="s">
        <v>383</v>
      </c>
      <c r="C159" s="98"/>
      <c r="D159" s="15"/>
      <c r="E159" s="15"/>
    </row>
    <row r="160" spans="1:12" ht="15" x14ac:dyDescent="0.2">
      <c r="A160" s="92" t="s">
        <v>340</v>
      </c>
      <c r="B160" s="95" t="s">
        <v>472</v>
      </c>
      <c r="C160" s="96"/>
    </row>
    <row r="161" spans="1:3" ht="14.25" x14ac:dyDescent="0.2">
      <c r="A161" s="92"/>
      <c r="B161" s="97" t="s">
        <v>384</v>
      </c>
      <c r="C161" s="96"/>
    </row>
    <row r="162" spans="1:3" ht="14.25" x14ac:dyDescent="0.2">
      <c r="A162" s="92"/>
      <c r="B162" s="97" t="s">
        <v>385</v>
      </c>
      <c r="C162" s="96"/>
    </row>
    <row r="163" spans="1:3" ht="14.25" x14ac:dyDescent="0.2">
      <c r="A163" s="92"/>
      <c r="B163" s="97"/>
      <c r="C163" s="96"/>
    </row>
    <row r="164" spans="1:3" ht="15" x14ac:dyDescent="0.2">
      <c r="A164" s="92" t="s">
        <v>343</v>
      </c>
      <c r="B164" s="95" t="s">
        <v>473</v>
      </c>
      <c r="C164" s="96"/>
    </row>
    <row r="165" spans="1:3" ht="14.25" x14ac:dyDescent="0.2">
      <c r="A165" s="92"/>
      <c r="B165" s="97" t="s">
        <v>386</v>
      </c>
      <c r="C165" s="96"/>
    </row>
    <row r="166" spans="1:3" ht="14.25" x14ac:dyDescent="0.2">
      <c r="A166" s="92"/>
      <c r="B166" s="97" t="s">
        <v>387</v>
      </c>
      <c r="C166" s="96"/>
    </row>
    <row r="167" spans="1:3" ht="14.25" x14ac:dyDescent="0.2">
      <c r="A167" s="92"/>
      <c r="B167" s="97"/>
      <c r="C167" s="96"/>
    </row>
    <row r="168" spans="1:3" ht="15" x14ac:dyDescent="0.2">
      <c r="A168" s="92" t="s">
        <v>344</v>
      </c>
      <c r="B168" s="95" t="s">
        <v>474</v>
      </c>
      <c r="C168" s="96"/>
    </row>
    <row r="169" spans="1:3" ht="14.25" x14ac:dyDescent="0.2">
      <c r="A169" s="92"/>
      <c r="B169" s="97" t="s">
        <v>388</v>
      </c>
      <c r="C169" s="96"/>
    </row>
    <row r="170" spans="1:3" ht="14.25" x14ac:dyDescent="0.2">
      <c r="A170" s="92"/>
      <c r="B170" s="97" t="s">
        <v>389</v>
      </c>
      <c r="C170" s="96"/>
    </row>
    <row r="171" spans="1:3" ht="14.25" x14ac:dyDescent="0.2">
      <c r="A171" s="92"/>
      <c r="B171" s="97"/>
      <c r="C171" s="96"/>
    </row>
    <row r="172" spans="1:3" ht="15" x14ac:dyDescent="0.2">
      <c r="A172" s="92" t="s">
        <v>347</v>
      </c>
      <c r="B172" s="95" t="s">
        <v>475</v>
      </c>
      <c r="C172" s="96"/>
    </row>
    <row r="173" spans="1:3" ht="14.25" x14ac:dyDescent="0.2">
      <c r="A173" s="92"/>
      <c r="B173" s="97" t="s">
        <v>390</v>
      </c>
      <c r="C173" s="96"/>
    </row>
    <row r="174" spans="1:3" ht="14.25" x14ac:dyDescent="0.2">
      <c r="A174" s="92"/>
      <c r="B174" s="97" t="s">
        <v>391</v>
      </c>
      <c r="C174" s="96"/>
    </row>
    <row r="175" spans="1:3" ht="14.25" x14ac:dyDescent="0.2">
      <c r="A175" s="92"/>
      <c r="B175" s="97"/>
      <c r="C175" s="96"/>
    </row>
    <row r="176" spans="1:3" ht="15" x14ac:dyDescent="0.2">
      <c r="A176" s="92" t="s">
        <v>348</v>
      </c>
      <c r="B176" s="95" t="s">
        <v>476</v>
      </c>
      <c r="C176" s="96"/>
    </row>
    <row r="177" spans="1:3" ht="14.25" x14ac:dyDescent="0.2">
      <c r="A177" s="92"/>
      <c r="B177" s="97" t="s">
        <v>392</v>
      </c>
      <c r="C177" s="96"/>
    </row>
    <row r="178" spans="1:3" ht="14.25" x14ac:dyDescent="0.2">
      <c r="A178" s="92"/>
      <c r="B178" s="97" t="s">
        <v>393</v>
      </c>
      <c r="C178" s="96"/>
    </row>
    <row r="179" spans="1:3" ht="14.25" x14ac:dyDescent="0.2">
      <c r="A179" s="92"/>
      <c r="B179" s="97" t="s">
        <v>394</v>
      </c>
      <c r="C179" s="96"/>
    </row>
    <row r="180" spans="1:3" ht="14.25" x14ac:dyDescent="0.2">
      <c r="A180" s="92"/>
      <c r="B180" s="97"/>
      <c r="C180" s="96"/>
    </row>
    <row r="181" spans="1:3" ht="15" x14ac:dyDescent="0.2">
      <c r="A181" s="92" t="s">
        <v>351</v>
      </c>
      <c r="B181" s="95" t="s">
        <v>477</v>
      </c>
      <c r="C181" s="96"/>
    </row>
    <row r="182" spans="1:3" ht="15" x14ac:dyDescent="0.2">
      <c r="A182" s="92"/>
      <c r="B182" s="95"/>
      <c r="C182" s="96"/>
    </row>
    <row r="183" spans="1:3" ht="15" x14ac:dyDescent="0.2">
      <c r="A183" s="92" t="s">
        <v>354</v>
      </c>
      <c r="B183" s="95" t="s">
        <v>478</v>
      </c>
      <c r="C183" s="96"/>
    </row>
    <row r="184" spans="1:3" ht="15" x14ac:dyDescent="0.2">
      <c r="A184" s="92"/>
      <c r="B184" s="95"/>
      <c r="C184" s="96"/>
    </row>
    <row r="185" spans="1:3" ht="15" x14ac:dyDescent="0.2">
      <c r="A185" s="92" t="s">
        <v>357</v>
      </c>
      <c r="B185" s="95" t="s">
        <v>479</v>
      </c>
      <c r="C185" s="96"/>
    </row>
    <row r="186" spans="1:3" ht="14.25" x14ac:dyDescent="0.2">
      <c r="A186" s="92"/>
      <c r="B186" s="97" t="s">
        <v>395</v>
      </c>
      <c r="C186" s="96"/>
    </row>
    <row r="187" spans="1:3" ht="15" x14ac:dyDescent="0.2">
      <c r="A187" s="92"/>
      <c r="B187" s="95"/>
      <c r="C187" s="96"/>
    </row>
    <row r="188" spans="1:3" ht="15" x14ac:dyDescent="0.2">
      <c r="A188" s="92" t="s">
        <v>359</v>
      </c>
      <c r="B188" s="95" t="s">
        <v>480</v>
      </c>
      <c r="C188" s="96"/>
    </row>
    <row r="189" spans="1:3" ht="14.25" x14ac:dyDescent="0.2">
      <c r="A189" s="92"/>
      <c r="B189" s="97" t="s">
        <v>396</v>
      </c>
      <c r="C189" s="96"/>
    </row>
    <row r="190" spans="1:3" ht="14.25" x14ac:dyDescent="0.2">
      <c r="A190" s="92"/>
      <c r="B190" s="97" t="s">
        <v>397</v>
      </c>
      <c r="C190" s="96"/>
    </row>
    <row r="191" spans="1:3" ht="14.25" x14ac:dyDescent="0.2">
      <c r="A191" s="92"/>
      <c r="B191" s="97"/>
      <c r="C191" s="96"/>
    </row>
    <row r="192" spans="1:3" ht="15" x14ac:dyDescent="0.2">
      <c r="A192" s="92" t="s">
        <v>363</v>
      </c>
      <c r="B192" s="95" t="s">
        <v>481</v>
      </c>
      <c r="C192" s="96"/>
    </row>
    <row r="193" spans="1:7" ht="15" x14ac:dyDescent="0.2">
      <c r="A193" s="92"/>
      <c r="B193" s="95"/>
      <c r="C193" s="96"/>
    </row>
    <row r="194" spans="1:7" ht="15" x14ac:dyDescent="0.2">
      <c r="A194" s="92" t="s">
        <v>364</v>
      </c>
      <c r="B194" s="95" t="s">
        <v>482</v>
      </c>
      <c r="C194" s="96"/>
    </row>
    <row r="195" spans="1:7" x14ac:dyDescent="0.2">
      <c r="B195" s="69"/>
      <c r="C195" s="96"/>
    </row>
    <row r="196" spans="1:7" ht="15" x14ac:dyDescent="0.2">
      <c r="A196" s="92"/>
      <c r="B196" s="91" t="s">
        <v>285</v>
      </c>
      <c r="C196" s="98"/>
      <c r="D196" s="15"/>
      <c r="E196" s="15"/>
      <c r="F196" s="15"/>
      <c r="G196" s="15"/>
    </row>
    <row r="197" spans="1:7" ht="15" x14ac:dyDescent="0.2">
      <c r="A197" s="92"/>
      <c r="B197" s="99"/>
      <c r="C197" s="96"/>
    </row>
    <row r="198" spans="1:7" ht="15" x14ac:dyDescent="0.2">
      <c r="A198" s="92" t="s">
        <v>366</v>
      </c>
      <c r="B198" s="95" t="s">
        <v>483</v>
      </c>
      <c r="C198" s="96"/>
    </row>
    <row r="199" spans="1:7" ht="14.25" x14ac:dyDescent="0.2">
      <c r="A199" s="92"/>
      <c r="B199" s="97" t="s">
        <v>398</v>
      </c>
      <c r="C199" s="96"/>
    </row>
    <row r="200" spans="1:7" ht="14.25" x14ac:dyDescent="0.2">
      <c r="A200" s="92"/>
      <c r="B200" s="97" t="s">
        <v>399</v>
      </c>
      <c r="C200" s="96"/>
    </row>
    <row r="201" spans="1:7" ht="14.25" x14ac:dyDescent="0.2">
      <c r="A201" s="92"/>
      <c r="B201" s="97" t="s">
        <v>400</v>
      </c>
      <c r="C201" s="96"/>
    </row>
    <row r="202" spans="1:7" ht="14.25" x14ac:dyDescent="0.2">
      <c r="A202" s="92"/>
      <c r="B202" s="97" t="s">
        <v>401</v>
      </c>
      <c r="C202" s="96"/>
    </row>
    <row r="203" spans="1:7" ht="14.25" x14ac:dyDescent="0.2">
      <c r="A203" s="92"/>
      <c r="B203" s="97" t="s">
        <v>402</v>
      </c>
      <c r="C203" s="96"/>
    </row>
    <row r="204" spans="1:7" ht="14.25" x14ac:dyDescent="0.2">
      <c r="A204" s="92"/>
      <c r="B204" s="97" t="s">
        <v>403</v>
      </c>
      <c r="C204" s="96"/>
    </row>
    <row r="205" spans="1:7" ht="14.25" x14ac:dyDescent="0.2">
      <c r="A205" s="92"/>
      <c r="B205" s="97" t="s">
        <v>404</v>
      </c>
      <c r="C205" s="96"/>
    </row>
    <row r="206" spans="1:7" ht="14.25" x14ac:dyDescent="0.2">
      <c r="A206" s="92"/>
      <c r="B206" s="97" t="s">
        <v>405</v>
      </c>
      <c r="C206" s="96"/>
    </row>
    <row r="207" spans="1:7" ht="14.25" x14ac:dyDescent="0.2">
      <c r="A207" s="92"/>
      <c r="B207" s="97" t="s">
        <v>406</v>
      </c>
      <c r="C207" s="96"/>
    </row>
    <row r="208" spans="1:7" ht="6" customHeight="1" x14ac:dyDescent="0.2">
      <c r="A208" s="92"/>
      <c r="B208" s="97"/>
      <c r="C208" s="96"/>
    </row>
    <row r="209" spans="1:3" ht="15" x14ac:dyDescent="0.2">
      <c r="A209" s="92" t="s">
        <v>369</v>
      </c>
      <c r="B209" s="95" t="s">
        <v>484</v>
      </c>
      <c r="C209" s="69"/>
    </row>
    <row r="210" spans="1:3" ht="14.25" x14ac:dyDescent="0.2">
      <c r="A210" s="92"/>
      <c r="B210" s="97" t="s">
        <v>407</v>
      </c>
      <c r="C210" s="69"/>
    </row>
    <row r="211" spans="1:3" ht="14.25" x14ac:dyDescent="0.2">
      <c r="A211" s="92"/>
      <c r="B211" s="97" t="s">
        <v>408</v>
      </c>
      <c r="C211" s="69"/>
    </row>
    <row r="212" spans="1:3" ht="6" customHeight="1" x14ac:dyDescent="0.2">
      <c r="A212" s="92"/>
      <c r="B212" s="97"/>
      <c r="C212" s="69"/>
    </row>
    <row r="213" spans="1:3" ht="15" x14ac:dyDescent="0.2">
      <c r="A213" s="92" t="s">
        <v>371</v>
      </c>
      <c r="B213" s="95" t="s">
        <v>485</v>
      </c>
      <c r="C213" s="69"/>
    </row>
    <row r="214" spans="1:3" ht="14.25" x14ac:dyDescent="0.2">
      <c r="A214" s="92"/>
      <c r="B214" s="97" t="s">
        <v>409</v>
      </c>
      <c r="C214" s="69"/>
    </row>
    <row r="215" spans="1:3" ht="14.25" x14ac:dyDescent="0.2">
      <c r="A215" s="92"/>
      <c r="B215" s="97" t="s">
        <v>410</v>
      </c>
      <c r="C215" s="69"/>
    </row>
    <row r="216" spans="1:3" ht="14.25" x14ac:dyDescent="0.2">
      <c r="A216" s="92"/>
      <c r="B216" s="97" t="s">
        <v>411</v>
      </c>
      <c r="C216" s="69"/>
    </row>
    <row r="217" spans="1:3" ht="14.25" x14ac:dyDescent="0.2">
      <c r="A217" s="92"/>
      <c r="B217" s="97" t="s">
        <v>412</v>
      </c>
      <c r="C217" s="69"/>
    </row>
    <row r="218" spans="1:3" ht="14.25" x14ac:dyDescent="0.2">
      <c r="A218" s="92"/>
      <c r="B218" s="97" t="s">
        <v>413</v>
      </c>
      <c r="C218" s="69"/>
    </row>
    <row r="219" spans="1:3" ht="6" customHeight="1" x14ac:dyDescent="0.2">
      <c r="A219" s="92"/>
      <c r="B219" s="97"/>
      <c r="C219" s="69"/>
    </row>
    <row r="220" spans="1:3" ht="15" x14ac:dyDescent="0.2">
      <c r="A220" s="92" t="s">
        <v>377</v>
      </c>
      <c r="B220" s="95" t="s">
        <v>486</v>
      </c>
      <c r="C220" s="69"/>
    </row>
    <row r="221" spans="1:3" ht="14.25" x14ac:dyDescent="0.2">
      <c r="A221" s="92"/>
      <c r="B221" s="97" t="s">
        <v>414</v>
      </c>
      <c r="C221" s="69"/>
    </row>
    <row r="222" spans="1:3" ht="14.25" x14ac:dyDescent="0.2">
      <c r="A222" s="92"/>
      <c r="B222" s="97" t="s">
        <v>415</v>
      </c>
      <c r="C222" s="69"/>
    </row>
    <row r="223" spans="1:3" ht="14.25" x14ac:dyDescent="0.2">
      <c r="A223" s="92"/>
      <c r="B223" s="97" t="s">
        <v>416</v>
      </c>
      <c r="C223" s="69"/>
    </row>
    <row r="224" spans="1:3" ht="6" customHeight="1" x14ac:dyDescent="0.2">
      <c r="A224" s="92"/>
      <c r="B224" s="97"/>
      <c r="C224" s="69"/>
    </row>
    <row r="225" spans="1:3" ht="15" x14ac:dyDescent="0.2">
      <c r="A225" s="92" t="s">
        <v>417</v>
      </c>
      <c r="B225" s="95" t="s">
        <v>487</v>
      </c>
      <c r="C225" s="69"/>
    </row>
    <row r="226" spans="1:3" ht="14.25" x14ac:dyDescent="0.2">
      <c r="A226" s="92"/>
      <c r="B226" s="97" t="s">
        <v>418</v>
      </c>
      <c r="C226" s="69"/>
    </row>
    <row r="227" spans="1:3" ht="14.25" x14ac:dyDescent="0.2">
      <c r="A227" s="92"/>
      <c r="B227" s="97" t="s">
        <v>419</v>
      </c>
      <c r="C227" s="69"/>
    </row>
    <row r="228" spans="1:3" ht="14.25" x14ac:dyDescent="0.2">
      <c r="A228" s="92"/>
      <c r="B228" s="97" t="s">
        <v>420</v>
      </c>
      <c r="C228" s="69"/>
    </row>
    <row r="229" spans="1:3" ht="6" customHeight="1" x14ac:dyDescent="0.2">
      <c r="A229" s="92"/>
      <c r="B229" s="97"/>
      <c r="C229" s="69"/>
    </row>
    <row r="230" spans="1:3" ht="15" x14ac:dyDescent="0.2">
      <c r="A230" s="92" t="s">
        <v>421</v>
      </c>
      <c r="B230" s="95" t="s">
        <v>488</v>
      </c>
      <c r="C230" s="69"/>
    </row>
    <row r="231" spans="1:3" ht="6" customHeight="1" x14ac:dyDescent="0.2">
      <c r="A231" s="92"/>
      <c r="B231" s="97"/>
      <c r="C231" s="69"/>
    </row>
    <row r="232" spans="1:3" ht="15" x14ac:dyDescent="0.2">
      <c r="A232" s="92" t="s">
        <v>422</v>
      </c>
      <c r="B232" s="95" t="s">
        <v>423</v>
      </c>
      <c r="C232" s="69"/>
    </row>
    <row r="233" spans="1:3" ht="14.25" x14ac:dyDescent="0.2">
      <c r="A233" s="92"/>
      <c r="B233" s="97"/>
      <c r="C233" s="69"/>
    </row>
    <row r="234" spans="1:3" ht="15" x14ac:dyDescent="0.2">
      <c r="A234" s="92" t="s">
        <v>424</v>
      </c>
      <c r="B234" s="95" t="s">
        <v>489</v>
      </c>
      <c r="C234" s="69"/>
    </row>
    <row r="235" spans="1:3" ht="14.25" x14ac:dyDescent="0.2">
      <c r="A235" s="92"/>
      <c r="B235" s="97" t="s">
        <v>425</v>
      </c>
      <c r="C235" s="69"/>
    </row>
    <row r="236" spans="1:3" ht="14.25" x14ac:dyDescent="0.2">
      <c r="A236" s="92"/>
      <c r="B236" s="97" t="s">
        <v>426</v>
      </c>
      <c r="C236" s="69"/>
    </row>
    <row r="237" spans="1:3" ht="6" customHeight="1" x14ac:dyDescent="0.2">
      <c r="A237" s="92"/>
      <c r="B237" s="97"/>
      <c r="C237" s="69"/>
    </row>
    <row r="238" spans="1:3" ht="15" x14ac:dyDescent="0.2">
      <c r="A238" s="92" t="s">
        <v>427</v>
      </c>
      <c r="B238" s="95" t="s">
        <v>490</v>
      </c>
      <c r="C238" s="69"/>
    </row>
    <row r="239" spans="1:3" ht="14.25" x14ac:dyDescent="0.2">
      <c r="A239" s="92"/>
      <c r="B239" s="97" t="s">
        <v>428</v>
      </c>
      <c r="C239" s="69"/>
    </row>
    <row r="240" spans="1:3" ht="6" customHeight="1" x14ac:dyDescent="0.2">
      <c r="A240" s="92"/>
      <c r="B240" s="97"/>
      <c r="C240" s="69"/>
    </row>
    <row r="241" spans="1:3" ht="15" x14ac:dyDescent="0.2">
      <c r="A241" s="92" t="s">
        <v>429</v>
      </c>
      <c r="B241" s="95" t="s">
        <v>491</v>
      </c>
      <c r="C241" s="69"/>
    </row>
    <row r="242" spans="1:3" ht="14.25" x14ac:dyDescent="0.2">
      <c r="A242" s="92"/>
      <c r="B242" s="97" t="s">
        <v>430</v>
      </c>
      <c r="C242" s="69"/>
    </row>
    <row r="243" spans="1:3" ht="14.25" x14ac:dyDescent="0.2">
      <c r="A243" s="92"/>
      <c r="B243" s="97" t="s">
        <v>431</v>
      </c>
      <c r="C243" s="69"/>
    </row>
    <row r="244" spans="1:3" ht="14.25" x14ac:dyDescent="0.2">
      <c r="A244" s="92"/>
      <c r="B244" s="97"/>
      <c r="C244" s="69"/>
    </row>
    <row r="245" spans="1:3" ht="15.75" x14ac:dyDescent="0.2">
      <c r="A245" s="92" t="s">
        <v>432</v>
      </c>
      <c r="B245" s="103" t="s">
        <v>433</v>
      </c>
      <c r="C245" s="69"/>
    </row>
    <row r="246" spans="1:3" ht="6" customHeight="1" x14ac:dyDescent="0.2">
      <c r="A246" s="92"/>
      <c r="B246" s="97"/>
      <c r="C246" s="69"/>
    </row>
    <row r="247" spans="1:3" ht="15" x14ac:dyDescent="0.2">
      <c r="A247" s="92" t="s">
        <v>434</v>
      </c>
      <c r="B247" s="95" t="s">
        <v>492</v>
      </c>
      <c r="C247" s="69"/>
    </row>
    <row r="248" spans="1:3" ht="14.25" x14ac:dyDescent="0.2">
      <c r="A248" s="92"/>
      <c r="B248" s="97" t="s">
        <v>435</v>
      </c>
      <c r="C248" s="69"/>
    </row>
    <row r="249" spans="1:3" ht="14.25" x14ac:dyDescent="0.2">
      <c r="A249" s="92"/>
      <c r="B249" s="97" t="s">
        <v>436</v>
      </c>
      <c r="C249" s="69"/>
    </row>
    <row r="250" spans="1:3" ht="14.25" x14ac:dyDescent="0.2">
      <c r="A250" s="92"/>
      <c r="B250" s="97" t="s">
        <v>437</v>
      </c>
      <c r="C250" s="69"/>
    </row>
    <row r="251" spans="1:3" ht="14.25" x14ac:dyDescent="0.2">
      <c r="A251" s="92"/>
      <c r="B251" s="97" t="s">
        <v>438</v>
      </c>
      <c r="C251" s="69"/>
    </row>
    <row r="252" spans="1:3" ht="14.25" x14ac:dyDescent="0.2">
      <c r="A252" s="92"/>
      <c r="B252" s="97" t="s">
        <v>439</v>
      </c>
      <c r="C252" s="69"/>
    </row>
    <row r="253" spans="1:3" ht="6" customHeight="1" x14ac:dyDescent="0.2">
      <c r="A253" s="92"/>
      <c r="B253" s="97"/>
      <c r="C253" s="69"/>
    </row>
    <row r="254" spans="1:3" ht="15" x14ac:dyDescent="0.2">
      <c r="A254" s="92" t="s">
        <v>440</v>
      </c>
      <c r="B254" s="95" t="s">
        <v>441</v>
      </c>
      <c r="C254" s="69"/>
    </row>
    <row r="255" spans="1:3" ht="14.25" x14ac:dyDescent="0.2">
      <c r="A255" s="92"/>
      <c r="B255" s="97" t="s">
        <v>442</v>
      </c>
      <c r="C255" s="69"/>
    </row>
    <row r="256" spans="1:3" x14ac:dyDescent="0.2">
      <c r="A256" s="7"/>
      <c r="B256" s="2"/>
    </row>
    <row r="257" spans="1:10" x14ac:dyDescent="0.2">
      <c r="A257" s="7"/>
      <c r="B257" s="2"/>
    </row>
    <row r="258" spans="1:10" x14ac:dyDescent="0.2">
      <c r="A258" s="7"/>
      <c r="B258" s="1"/>
    </row>
    <row r="259" spans="1:10" x14ac:dyDescent="0.2">
      <c r="A259" s="7"/>
      <c r="B259" s="2"/>
    </row>
    <row r="260" spans="1:10" x14ac:dyDescent="0.2">
      <c r="A260" s="7"/>
      <c r="B260" s="2"/>
    </row>
    <row r="261" spans="1:10" x14ac:dyDescent="0.2">
      <c r="A261" s="7"/>
      <c r="B261" s="1"/>
    </row>
    <row r="262" spans="1:10" x14ac:dyDescent="0.2">
      <c r="A262" s="7"/>
      <c r="B262" s="2"/>
    </row>
    <row r="263" spans="1:10" x14ac:dyDescent="0.2">
      <c r="A263" s="7"/>
      <c r="B263" s="1"/>
    </row>
    <row r="264" spans="1:10" x14ac:dyDescent="0.2">
      <c r="A264" s="7"/>
      <c r="B264" s="2"/>
    </row>
    <row r="265" spans="1:10" x14ac:dyDescent="0.2">
      <c r="A265" s="7"/>
      <c r="B265" s="2"/>
    </row>
    <row r="266" spans="1:10" x14ac:dyDescent="0.2">
      <c r="A266" s="7"/>
      <c r="B266" s="1"/>
    </row>
    <row r="267" spans="1:10" x14ac:dyDescent="0.2">
      <c r="A267" s="7"/>
      <c r="B267" s="2"/>
    </row>
    <row r="268" spans="1:10" x14ac:dyDescent="0.2">
      <c r="A268" s="7"/>
      <c r="B268" s="1"/>
    </row>
    <row r="269" spans="1:10" x14ac:dyDescent="0.2">
      <c r="A269" s="7"/>
      <c r="B269" s="2"/>
    </row>
    <row r="270" spans="1:10" x14ac:dyDescent="0.2">
      <c r="A270" s="7"/>
      <c r="B270" s="2"/>
    </row>
    <row r="271" spans="1:10" x14ac:dyDescent="0.2">
      <c r="A271" s="7"/>
      <c r="B271" s="1"/>
      <c r="J271" s="2"/>
    </row>
    <row r="272" spans="1:10" x14ac:dyDescent="0.2">
      <c r="B272" s="100"/>
    </row>
    <row r="273" spans="1:2" x14ac:dyDescent="0.2">
      <c r="A273" s="7"/>
      <c r="B273" s="1"/>
    </row>
    <row r="274" spans="1:2" x14ac:dyDescent="0.2">
      <c r="A274" s="7"/>
      <c r="B274" s="2"/>
    </row>
    <row r="275" spans="1:2" x14ac:dyDescent="0.2">
      <c r="A275" s="7"/>
      <c r="B275" s="2"/>
    </row>
    <row r="276" spans="1:2" x14ac:dyDescent="0.2">
      <c r="A276" s="7"/>
      <c r="B276" s="2"/>
    </row>
    <row r="277" spans="1:2" x14ac:dyDescent="0.2">
      <c r="A277" s="7"/>
      <c r="B277" s="2"/>
    </row>
    <row r="278" spans="1:2" x14ac:dyDescent="0.2">
      <c r="A278" s="7"/>
      <c r="B278" s="2"/>
    </row>
    <row r="279" spans="1:2" x14ac:dyDescent="0.2">
      <c r="A279" s="7"/>
      <c r="B279" s="2"/>
    </row>
    <row r="280" spans="1:2" x14ac:dyDescent="0.2">
      <c r="A280" s="7"/>
      <c r="B280" s="2"/>
    </row>
    <row r="281" spans="1:2" x14ac:dyDescent="0.2">
      <c r="A281" s="7"/>
      <c r="B281" s="2"/>
    </row>
    <row r="282" spans="1:2" x14ac:dyDescent="0.2">
      <c r="A282" s="7"/>
      <c r="B282" s="1"/>
    </row>
    <row r="283" spans="1:2" x14ac:dyDescent="0.2">
      <c r="A283" s="7"/>
      <c r="B283" s="2"/>
    </row>
    <row r="284" spans="1:2" x14ac:dyDescent="0.2">
      <c r="A284" s="7"/>
      <c r="B284" s="2"/>
    </row>
    <row r="285" spans="1:2" x14ac:dyDescent="0.2">
      <c r="A285" s="7"/>
      <c r="B285" s="1"/>
    </row>
    <row r="286" spans="1:2" x14ac:dyDescent="0.2">
      <c r="A286" s="7"/>
      <c r="B286" s="2"/>
    </row>
    <row r="287" spans="1:2" x14ac:dyDescent="0.2">
      <c r="A287" s="7"/>
      <c r="B287" s="2"/>
    </row>
    <row r="288" spans="1:2" x14ac:dyDescent="0.2">
      <c r="A288" s="7"/>
      <c r="B288" s="2"/>
    </row>
    <row r="289" spans="1:2" x14ac:dyDescent="0.2">
      <c r="A289" s="7"/>
      <c r="B289" s="1"/>
    </row>
    <row r="290" spans="1:2" x14ac:dyDescent="0.2">
      <c r="A290" s="7"/>
      <c r="B290" s="2"/>
    </row>
    <row r="291" spans="1:2" x14ac:dyDescent="0.2">
      <c r="A291" s="7"/>
      <c r="B291" s="1"/>
    </row>
    <row r="292" spans="1:2" x14ac:dyDescent="0.2">
      <c r="A292" s="7"/>
      <c r="B292" s="1"/>
    </row>
    <row r="293" spans="1:2" x14ac:dyDescent="0.2">
      <c r="A293" s="7"/>
      <c r="B293" s="1"/>
    </row>
    <row r="294" spans="1:2" x14ac:dyDescent="0.2">
      <c r="A294" s="7"/>
      <c r="B294" s="1"/>
    </row>
    <row r="295" spans="1:2" x14ac:dyDescent="0.2">
      <c r="A295" s="7"/>
      <c r="B295" s="1"/>
    </row>
    <row r="296" spans="1:2" x14ac:dyDescent="0.2">
      <c r="A296" s="7"/>
      <c r="B296" s="1"/>
    </row>
    <row r="297" spans="1:2" x14ac:dyDescent="0.2">
      <c r="A297" s="7"/>
      <c r="B297" s="2"/>
    </row>
    <row r="298" spans="1:2" x14ac:dyDescent="0.2">
      <c r="A298" s="7"/>
      <c r="B298" s="2"/>
    </row>
    <row r="299" spans="1:2" x14ac:dyDescent="0.2">
      <c r="A299" s="7"/>
      <c r="B299" s="1"/>
    </row>
    <row r="300" spans="1:2" x14ac:dyDescent="0.2">
      <c r="A300" s="7"/>
      <c r="B300" s="2"/>
    </row>
    <row r="301" spans="1:2" x14ac:dyDescent="0.2">
      <c r="A301" s="7"/>
      <c r="B301" s="1"/>
    </row>
    <row r="302" spans="1:2" x14ac:dyDescent="0.2">
      <c r="A302" s="7"/>
      <c r="B302" s="2"/>
    </row>
    <row r="303" spans="1:2" x14ac:dyDescent="0.2">
      <c r="A303" s="7"/>
      <c r="B303" s="2"/>
    </row>
    <row r="304" spans="1:2" x14ac:dyDescent="0.2">
      <c r="A304" s="7"/>
      <c r="B304" s="1"/>
    </row>
    <row r="305" spans="1:13" x14ac:dyDescent="0.2">
      <c r="A305" s="66"/>
      <c r="B305" s="1"/>
    </row>
    <row r="306" spans="1:13" x14ac:dyDescent="0.2">
      <c r="A306" s="7"/>
      <c r="B306" s="2"/>
    </row>
    <row r="307" spans="1:13" x14ac:dyDescent="0.2">
      <c r="A307" s="7"/>
      <c r="B307" s="2"/>
    </row>
    <row r="308" spans="1:13" x14ac:dyDescent="0.2">
      <c r="A308" s="7"/>
      <c r="B308" s="2"/>
    </row>
    <row r="309" spans="1:13" x14ac:dyDescent="0.2">
      <c r="A309" s="7"/>
      <c r="B309" s="2"/>
    </row>
    <row r="310" spans="1:13" x14ac:dyDescent="0.2">
      <c r="A310" s="7"/>
      <c r="B310" s="1"/>
    </row>
    <row r="311" spans="1:13" x14ac:dyDescent="0.2">
      <c r="B311" s="2"/>
    </row>
    <row r="312" spans="1:13" x14ac:dyDescent="0.2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</row>
    <row r="313" spans="1:13" x14ac:dyDescent="0.2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</row>
    <row r="314" spans="1:13" x14ac:dyDescent="0.2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</row>
    <row r="315" spans="1:13" x14ac:dyDescent="0.2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</row>
    <row r="316" spans="1:13" x14ac:dyDescent="0.2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</row>
    <row r="317" spans="1:13" x14ac:dyDescent="0.2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</row>
    <row r="318" spans="1:13" x14ac:dyDescent="0.2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</row>
  </sheetData>
  <sheetProtection password="CF42" sheet="1" objects="1" scenarios="1"/>
  <pageMargins left="0.7" right="0.7" top="0.75" bottom="0.75" header="0.3" footer="0.3"/>
  <pageSetup scale="99" orientation="portrait" r:id="rId1"/>
  <rowBreaks count="3" manualBreakCount="3">
    <brk id="60" max="16383" man="1"/>
    <brk id="114" max="16383" man="1"/>
    <brk id="1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69"/>
  <sheetViews>
    <sheetView zoomScaleNormal="100" zoomScaleSheetLayoutView="75" workbookViewId="0">
      <selection activeCell="B1" sqref="B1"/>
    </sheetView>
  </sheetViews>
  <sheetFormatPr defaultRowHeight="15" x14ac:dyDescent="0.2"/>
  <cols>
    <col min="1" max="2" width="12.7109375" customWidth="1"/>
    <col min="4" max="8" width="9.140625" style="25" customWidth="1"/>
    <col min="14" max="14" width="4.28515625" bestFit="1" customWidth="1"/>
    <col min="15" max="15" width="5.7109375" bestFit="1" customWidth="1"/>
    <col min="16" max="16" width="10.85546875" bestFit="1" customWidth="1"/>
  </cols>
  <sheetData>
    <row r="1" spans="1:16" ht="15.75" x14ac:dyDescent="0.25">
      <c r="A1" s="25" t="s">
        <v>114</v>
      </c>
      <c r="B1" s="27">
        <f>Yr</f>
        <v>2024</v>
      </c>
      <c r="C1" s="157" t="s">
        <v>272</v>
      </c>
      <c r="D1" s="158" t="s">
        <v>11</v>
      </c>
      <c r="E1" s="158" t="s">
        <v>535</v>
      </c>
      <c r="F1" s="158" t="s">
        <v>536</v>
      </c>
      <c r="G1" s="158" t="s">
        <v>537</v>
      </c>
      <c r="H1" s="158" t="s">
        <v>538</v>
      </c>
      <c r="I1" s="163" t="s">
        <v>539</v>
      </c>
      <c r="J1" s="163" t="s">
        <v>540</v>
      </c>
      <c r="K1" s="158" t="s">
        <v>115</v>
      </c>
      <c r="L1" s="158" t="s">
        <v>116</v>
      </c>
      <c r="M1" s="158" t="s">
        <v>109</v>
      </c>
      <c r="N1" s="158" t="s">
        <v>110</v>
      </c>
      <c r="O1" s="159" t="s">
        <v>541</v>
      </c>
      <c r="P1" s="158" t="s">
        <v>118</v>
      </c>
    </row>
    <row r="2" spans="1:16" ht="19.5" x14ac:dyDescent="0.4">
      <c r="A2" s="29" t="s">
        <v>272</v>
      </c>
      <c r="B2" s="25" t="str">
        <f>IF(ISBLANK(ID),"b",ID)</f>
        <v>b</v>
      </c>
      <c r="C2" s="160" t="str">
        <f>IF(ISBLANK(ID),"b",ID)</f>
        <v>b</v>
      </c>
      <c r="D2" s="2" t="str">
        <f>IF(ISBLANK(Name),"b",Name)</f>
        <v>b</v>
      </c>
      <c r="E2" s="2"/>
      <c r="F2" s="2"/>
      <c r="G2" s="2"/>
      <c r="H2" s="2"/>
      <c r="I2" s="2" t="str">
        <f>IF(ISBLANK(Person),"b",Person)</f>
        <v>b</v>
      </c>
      <c r="J2" s="2" t="str">
        <f>IF(ISBLANK(eaddr),"b",eaddr)</f>
        <v>b</v>
      </c>
      <c r="K2" s="2" t="str">
        <f>IF(ISBLANK(Addr1),"b",Addr1)</f>
        <v>b</v>
      </c>
      <c r="L2" s="2" t="str">
        <f>IF(ISBLANK(Addr2),"b",Addr2)</f>
        <v>b</v>
      </c>
      <c r="M2" s="2" t="str">
        <f>IF(ISBLANK(City),"b",City)</f>
        <v>b</v>
      </c>
      <c r="N2" s="2" t="str">
        <f>IF(ISBLANK(State),"b",State)</f>
        <v>b</v>
      </c>
      <c r="O2" s="161" t="str">
        <f>IF(ISBLANK(Zipcode),"b",Zipcode)</f>
        <v>b</v>
      </c>
      <c r="P2" s="162" t="str">
        <f>IF(ISBLANK(Phone),"b",Phone)</f>
        <v>b</v>
      </c>
    </row>
    <row r="3" spans="1:16" x14ac:dyDescent="0.2">
      <c r="A3" s="164" t="s">
        <v>107</v>
      </c>
      <c r="B3" s="164" t="s">
        <v>542</v>
      </c>
    </row>
    <row r="4" spans="1:16" x14ac:dyDescent="0.2">
      <c r="A4" s="164" t="s">
        <v>108</v>
      </c>
      <c r="B4" s="164" t="s">
        <v>542</v>
      </c>
    </row>
    <row r="5" spans="1:16" x14ac:dyDescent="0.2">
      <c r="A5" s="164" t="s">
        <v>11</v>
      </c>
      <c r="B5" s="164" t="s">
        <v>542</v>
      </c>
    </row>
    <row r="6" spans="1:16" x14ac:dyDescent="0.2">
      <c r="A6" s="164" t="s">
        <v>115</v>
      </c>
      <c r="B6" s="164" t="s">
        <v>542</v>
      </c>
    </row>
    <row r="7" spans="1:16" x14ac:dyDescent="0.2">
      <c r="A7" s="164" t="s">
        <v>116</v>
      </c>
      <c r="B7" s="164" t="s">
        <v>542</v>
      </c>
    </row>
    <row r="8" spans="1:16" x14ac:dyDescent="0.2">
      <c r="A8" s="164" t="s">
        <v>109</v>
      </c>
      <c r="B8" s="164" t="s">
        <v>542</v>
      </c>
    </row>
    <row r="9" spans="1:16" x14ac:dyDescent="0.2">
      <c r="A9" s="164" t="s">
        <v>110</v>
      </c>
      <c r="B9" s="164" t="s">
        <v>542</v>
      </c>
    </row>
    <row r="10" spans="1:16" x14ac:dyDescent="0.2">
      <c r="A10" s="25" t="s">
        <v>117</v>
      </c>
      <c r="B10" s="30" t="str">
        <f>IF(ISBLANK(Zipcode),"b",Zipcode)</f>
        <v>b</v>
      </c>
    </row>
    <row r="11" spans="1:16" x14ac:dyDescent="0.2">
      <c r="A11" s="164" t="s">
        <v>118</v>
      </c>
      <c r="B11" s="164" t="s">
        <v>542</v>
      </c>
    </row>
    <row r="12" spans="1:16" x14ac:dyDescent="0.2">
      <c r="A12" s="164" t="s">
        <v>35</v>
      </c>
      <c r="B12" s="164"/>
    </row>
    <row r="13" spans="1:16" x14ac:dyDescent="0.2">
      <c r="A13" s="164" t="s">
        <v>119</v>
      </c>
      <c r="B13" s="164" t="s">
        <v>542</v>
      </c>
    </row>
    <row r="14" spans="1:16" x14ac:dyDescent="0.2">
      <c r="A14" s="164" t="s">
        <v>276</v>
      </c>
      <c r="B14" s="164">
        <f>IF(PDF=2,0,1)</f>
        <v>1</v>
      </c>
    </row>
    <row r="15" spans="1:16" x14ac:dyDescent="0.2">
      <c r="A15" s="164" t="s">
        <v>120</v>
      </c>
      <c r="B15" s="164"/>
    </row>
    <row r="16" spans="1:16" x14ac:dyDescent="0.2">
      <c r="A16" s="164" t="s">
        <v>121</v>
      </c>
      <c r="B16" s="164"/>
    </row>
    <row r="17" spans="1:4" x14ac:dyDescent="0.2">
      <c r="A17" s="164" t="s">
        <v>122</v>
      </c>
      <c r="B17" s="164"/>
    </row>
    <row r="18" spans="1:4" x14ac:dyDescent="0.2">
      <c r="A18" s="25" t="s">
        <v>123</v>
      </c>
      <c r="B18" s="34" t="str">
        <f>IF(EMP&gt;0,Dremp,"b")</f>
        <v>b</v>
      </c>
      <c r="D18" s="34"/>
    </row>
    <row r="19" spans="1:4" x14ac:dyDescent="0.2">
      <c r="A19" s="25" t="s">
        <v>124</v>
      </c>
      <c r="B19" s="34" t="str">
        <f>IF(EMP&gt;0,Indemp,"b")</f>
        <v>b</v>
      </c>
      <c r="D19" s="34"/>
    </row>
    <row r="20" spans="1:4" x14ac:dyDescent="0.2">
      <c r="A20" s="25" t="s">
        <v>125</v>
      </c>
      <c r="B20" s="34" t="str">
        <f>IF(EMP&gt;0,Supremp,"b")</f>
        <v>b</v>
      </c>
      <c r="D20" s="34"/>
    </row>
    <row r="21" spans="1:4" x14ac:dyDescent="0.2">
      <c r="A21" s="25" t="s">
        <v>126</v>
      </c>
      <c r="B21" s="34" t="str">
        <f>IF(EMP&gt;0,Slsemp,"b")</f>
        <v>b</v>
      </c>
      <c r="D21" s="34"/>
    </row>
    <row r="22" spans="1:4" x14ac:dyDescent="0.2">
      <c r="A22" s="25" t="s">
        <v>127</v>
      </c>
      <c r="B22" s="34" t="str">
        <f>IF(EMP&gt;0,Exemp,"b")</f>
        <v>b</v>
      </c>
      <c r="D22" s="34"/>
    </row>
    <row r="23" spans="1:4" x14ac:dyDescent="0.2">
      <c r="A23" s="25" t="s">
        <v>128</v>
      </c>
      <c r="B23" s="34" t="str">
        <f>IF(EMP&gt;0,OEMP,"b")</f>
        <v>b</v>
      </c>
      <c r="D23" s="34"/>
    </row>
    <row r="24" spans="1:4" ht="15.75" x14ac:dyDescent="0.25">
      <c r="A24" s="27" t="s">
        <v>129</v>
      </c>
      <c r="B24" s="28" t="str">
        <f>IF(EMP&gt;0,EMP,"b")</f>
        <v>b</v>
      </c>
    </row>
    <row r="25" spans="1:4" x14ac:dyDescent="0.2">
      <c r="A25" s="164" t="s">
        <v>130</v>
      </c>
      <c r="B25" s="165"/>
    </row>
    <row r="26" spans="1:4" x14ac:dyDescent="0.2">
      <c r="A26" s="164" t="s">
        <v>131</v>
      </c>
      <c r="B26" s="165"/>
    </row>
    <row r="27" spans="1:4" x14ac:dyDescent="0.2">
      <c r="A27" s="25" t="s">
        <v>132</v>
      </c>
      <c r="B27" s="169" t="str">
        <f>IF(Oind&lt;100,Tls,"b")</f>
        <v>b</v>
      </c>
    </row>
    <row r="28" spans="1:4" x14ac:dyDescent="0.2">
      <c r="A28" s="25" t="s">
        <v>133</v>
      </c>
      <c r="B28" s="169" t="str">
        <f>IF(Oind&lt;100,Mlds,"b")</f>
        <v>b</v>
      </c>
    </row>
    <row r="29" spans="1:4" x14ac:dyDescent="0.2">
      <c r="A29" s="25" t="s">
        <v>134</v>
      </c>
      <c r="B29" s="169" t="str">
        <f>IF(Oind&lt;100,GPM,"b")</f>
        <v>b</v>
      </c>
    </row>
    <row r="30" spans="1:4" x14ac:dyDescent="0.2">
      <c r="A30" s="25" t="s">
        <v>135</v>
      </c>
      <c r="B30" s="169" t="str">
        <f>IF(Oind&lt;100,AMF,"b")</f>
        <v>b</v>
      </c>
    </row>
    <row r="31" spans="1:4" x14ac:dyDescent="0.2">
      <c r="A31" s="25" t="s">
        <v>136</v>
      </c>
      <c r="B31" s="169" t="str">
        <f>IF(Oind&lt;100,SPC,"b")</f>
        <v>b</v>
      </c>
    </row>
    <row r="32" spans="1:4" x14ac:dyDescent="0.2">
      <c r="A32" s="25" t="s">
        <v>137</v>
      </c>
      <c r="B32" s="169" t="str">
        <f>IF(Oind&lt;100,Prodn,"b")</f>
        <v>b</v>
      </c>
    </row>
    <row r="33" spans="1:4" x14ac:dyDescent="0.2">
      <c r="A33" s="25" t="s">
        <v>138</v>
      </c>
      <c r="B33" s="169" t="str">
        <f>IF(Oind&lt;100,Sheet,"b")</f>
        <v>b</v>
      </c>
    </row>
    <row r="34" spans="1:4" x14ac:dyDescent="0.2">
      <c r="A34" s="25" t="s">
        <v>139</v>
      </c>
      <c r="B34" s="26" t="str">
        <f>IF(Oind&lt;100,Oind,"b")</f>
        <v>b</v>
      </c>
    </row>
    <row r="35" spans="1:4" x14ac:dyDescent="0.2">
      <c r="A35" s="164" t="s">
        <v>140</v>
      </c>
      <c r="B35" s="165"/>
    </row>
    <row r="36" spans="1:4" x14ac:dyDescent="0.2">
      <c r="A36" s="164" t="s">
        <v>141</v>
      </c>
      <c r="B36" s="165"/>
    </row>
    <row r="37" spans="1:4" x14ac:dyDescent="0.2">
      <c r="A37" s="164" t="s">
        <v>142</v>
      </c>
      <c r="B37" s="165"/>
    </row>
    <row r="38" spans="1:4" x14ac:dyDescent="0.2">
      <c r="A38" s="164" t="s">
        <v>143</v>
      </c>
      <c r="B38" s="165"/>
    </row>
    <row r="39" spans="1:4" x14ac:dyDescent="0.2">
      <c r="A39" s="164" t="s">
        <v>144</v>
      </c>
      <c r="B39" s="165"/>
    </row>
    <row r="40" spans="1:4" x14ac:dyDescent="0.2">
      <c r="A40" s="164" t="s">
        <v>145</v>
      </c>
      <c r="B40" s="165"/>
    </row>
    <row r="41" spans="1:4" x14ac:dyDescent="0.2">
      <c r="A41" s="164" t="s">
        <v>146</v>
      </c>
      <c r="B41" s="165"/>
    </row>
    <row r="42" spans="1:4" x14ac:dyDescent="0.2">
      <c r="A42" s="164" t="s">
        <v>147</v>
      </c>
      <c r="B42" s="165"/>
    </row>
    <row r="43" spans="1:4" x14ac:dyDescent="0.2">
      <c r="A43" s="164" t="s">
        <v>148</v>
      </c>
      <c r="B43" s="165"/>
    </row>
    <row r="44" spans="1:4" x14ac:dyDescent="0.2">
      <c r="A44" s="164" t="s">
        <v>149</v>
      </c>
      <c r="B44" s="166" t="str">
        <f>IF(ISBLANK(Export),"b",Export)</f>
        <v>b</v>
      </c>
    </row>
    <row r="45" spans="1:4" ht="15.75" x14ac:dyDescent="0.25">
      <c r="A45" s="27" t="s">
        <v>150</v>
      </c>
      <c r="B45" s="32" t="str">
        <f>IF(ISBLANK(Prev),"b",Prev)</f>
        <v>b</v>
      </c>
    </row>
    <row r="46" spans="1:4" x14ac:dyDescent="0.2">
      <c r="A46" s="25" t="s">
        <v>151</v>
      </c>
      <c r="B46" s="31" t="str">
        <f>IF(ISBLANK(AAR),"b",AAR)</f>
        <v>b</v>
      </c>
    </row>
    <row r="47" spans="1:4" x14ac:dyDescent="0.2">
      <c r="A47" s="25" t="s">
        <v>152</v>
      </c>
      <c r="B47" s="31" t="str">
        <f>IF(ISBLANK(AVG),"b",AVG)</f>
        <v>b</v>
      </c>
    </row>
    <row r="48" spans="1:4" x14ac:dyDescent="0.2">
      <c r="A48" s="25" t="s">
        <v>153</v>
      </c>
      <c r="B48" s="35">
        <f>IF(OR(LIFO="y",LIFO="yes"),1,0)</f>
        <v>0</v>
      </c>
      <c r="D48" s="35"/>
    </row>
    <row r="49" spans="1:4" x14ac:dyDescent="0.2">
      <c r="A49" s="25" t="s">
        <v>154</v>
      </c>
      <c r="B49" s="36">
        <f>IF(ISBLANK(Add),0,(Add))</f>
        <v>0</v>
      </c>
      <c r="D49" s="36"/>
    </row>
    <row r="50" spans="1:4" x14ac:dyDescent="0.2">
      <c r="A50" s="25" t="s">
        <v>155</v>
      </c>
      <c r="B50" s="36">
        <f>IF(ISBLANK(End),0,(End))</f>
        <v>0</v>
      </c>
      <c r="D50" s="36"/>
    </row>
    <row r="51" spans="1:4" x14ac:dyDescent="0.2">
      <c r="A51" s="25" t="s">
        <v>158</v>
      </c>
      <c r="B51" s="31" t="str">
        <f>IF(ISBLANK(Cash),"b",Cash)</f>
        <v>b</v>
      </c>
    </row>
    <row r="52" spans="1:4" x14ac:dyDescent="0.2">
      <c r="A52" s="25" t="s">
        <v>159</v>
      </c>
      <c r="B52" s="31" t="str">
        <f>IF(ISBLANK(AR),"b",AR)</f>
        <v>b</v>
      </c>
    </row>
    <row r="53" spans="1:4" x14ac:dyDescent="0.2">
      <c r="A53" s="25" t="s">
        <v>160</v>
      </c>
      <c r="B53" s="31" t="str">
        <f>IF(ISBLANK(Inv),"b",Inv)</f>
        <v>b</v>
      </c>
    </row>
    <row r="54" spans="1:4" x14ac:dyDescent="0.2">
      <c r="A54" s="25" t="s">
        <v>161</v>
      </c>
      <c r="B54" s="36" t="str">
        <f>IF((CA&gt;0),(OCA),"b")</f>
        <v>b</v>
      </c>
    </row>
    <row r="55" spans="1:4" ht="15.75" x14ac:dyDescent="0.25">
      <c r="A55" s="27" t="s">
        <v>157</v>
      </c>
      <c r="B55" s="32" t="str">
        <f>IF(CA&lt;&gt;0,CA,"b")</f>
        <v>b</v>
      </c>
    </row>
    <row r="56" spans="1:4" x14ac:dyDescent="0.2">
      <c r="A56" s="164" t="s">
        <v>162</v>
      </c>
      <c r="B56" s="166" t="str">
        <f>IF(ISBLANK(GFA),"b",GFA)</f>
        <v>b</v>
      </c>
    </row>
    <row r="57" spans="1:4" x14ac:dyDescent="0.2">
      <c r="A57" s="164" t="s">
        <v>163</v>
      </c>
      <c r="B57" s="167" t="str">
        <f>IF(ISBLANK(Accdpr),"b",Accdpr)</f>
        <v>b</v>
      </c>
    </row>
    <row r="58" spans="1:4" x14ac:dyDescent="0.2">
      <c r="A58" s="25" t="s">
        <v>164</v>
      </c>
      <c r="B58" s="31" t="str">
        <f>IF(Fixed&lt;&gt;0,Fixed,"b")</f>
        <v>b</v>
      </c>
    </row>
    <row r="59" spans="1:4" x14ac:dyDescent="0.2">
      <c r="A59" s="25" t="s">
        <v>165</v>
      </c>
      <c r="B59" s="36" t="str">
        <f>IF((TA&gt;0),(OFA),"b")</f>
        <v>b</v>
      </c>
    </row>
    <row r="60" spans="1:4" ht="15.75" x14ac:dyDescent="0.25">
      <c r="A60" s="27" t="s">
        <v>156</v>
      </c>
      <c r="B60" s="32" t="str">
        <f>IF(TA&lt;&gt;0,TA,"b")</f>
        <v>b</v>
      </c>
    </row>
    <row r="61" spans="1:4" x14ac:dyDescent="0.2">
      <c r="A61" s="25" t="s">
        <v>167</v>
      </c>
      <c r="B61" s="31" t="str">
        <f>IF(ISBLANK(AP),"b",AP)</f>
        <v>b</v>
      </c>
    </row>
    <row r="62" spans="1:4" x14ac:dyDescent="0.2">
      <c r="A62" s="25" t="s">
        <v>168</v>
      </c>
      <c r="B62" s="31" t="str">
        <f>IF(ISBLANK(NP),"b",NP)</f>
        <v>b</v>
      </c>
    </row>
    <row r="63" spans="1:4" x14ac:dyDescent="0.2">
      <c r="A63" s="25" t="s">
        <v>169</v>
      </c>
      <c r="B63" s="36" t="str">
        <f>IF((CL&gt;0),(OCL),"b")</f>
        <v>b</v>
      </c>
    </row>
    <row r="64" spans="1:4" ht="15.75" x14ac:dyDescent="0.25">
      <c r="A64" s="27" t="s">
        <v>166</v>
      </c>
      <c r="B64" s="32" t="str">
        <f>IF(CL&gt;0,CL,"b")</f>
        <v>b</v>
      </c>
    </row>
    <row r="65" spans="1:2" x14ac:dyDescent="0.2">
      <c r="A65" s="25" t="s">
        <v>170</v>
      </c>
      <c r="B65" s="31" t="str">
        <f>IF(ISBLANK(LTL),"b",LTL)</f>
        <v>b</v>
      </c>
    </row>
    <row r="66" spans="1:2" x14ac:dyDescent="0.2">
      <c r="A66" s="25" t="s">
        <v>171</v>
      </c>
      <c r="B66" s="36">
        <f>IF(ISBLANK(LOAN),0,(LOAN))</f>
        <v>0</v>
      </c>
    </row>
    <row r="67" spans="1:2" x14ac:dyDescent="0.2">
      <c r="A67" s="25" t="s">
        <v>172</v>
      </c>
      <c r="B67" s="31" t="str">
        <f>IF(EQTY&lt;&gt;0,EQTY,"b")</f>
        <v>b</v>
      </c>
    </row>
    <row r="68" spans="1:2" ht="15.75" x14ac:dyDescent="0.25">
      <c r="A68" s="27" t="s">
        <v>173</v>
      </c>
      <c r="B68" s="32" t="str">
        <f>IF(LIAB&lt;&gt;0,LIAB,"b")</f>
        <v>b</v>
      </c>
    </row>
    <row r="69" spans="1:2" ht="15.75" x14ac:dyDescent="0.25">
      <c r="A69" s="27" t="s">
        <v>174</v>
      </c>
      <c r="B69" s="32" t="str">
        <f>IF(ISBLANK(NS),"b",NS)</f>
        <v>b</v>
      </c>
    </row>
    <row r="70" spans="1:2" x14ac:dyDescent="0.2">
      <c r="A70" s="164" t="s">
        <v>175</v>
      </c>
      <c r="B70" s="166" t="str">
        <f>IF(ISBLANK(Binv),"b",Binv)</f>
        <v>b</v>
      </c>
    </row>
    <row r="71" spans="1:2" x14ac:dyDescent="0.2">
      <c r="A71" s="25" t="s">
        <v>176</v>
      </c>
      <c r="B71" s="31" t="str">
        <f>IF(ISBLANK(Mat),"b",Mat)</f>
        <v>b</v>
      </c>
    </row>
    <row r="72" spans="1:2" x14ac:dyDescent="0.2">
      <c r="A72" s="164" t="s">
        <v>177</v>
      </c>
      <c r="B72" s="166" t="str">
        <f>IF(ISBLANK(Sub),"b",Sub)</f>
        <v>b</v>
      </c>
    </row>
    <row r="73" spans="1:2" x14ac:dyDescent="0.2">
      <c r="A73" s="164" t="s">
        <v>178</v>
      </c>
      <c r="B73" s="166" t="str">
        <f>IF(ISBLANK(Lab),"b",Lab)</f>
        <v>b</v>
      </c>
    </row>
    <row r="74" spans="1:2" x14ac:dyDescent="0.2">
      <c r="A74" s="164" t="s">
        <v>179</v>
      </c>
      <c r="B74" s="166" t="str">
        <f>IF(ISBLANK(OT),"b",OT)</f>
        <v>b</v>
      </c>
    </row>
    <row r="75" spans="1:2" x14ac:dyDescent="0.2">
      <c r="A75" s="25" t="s">
        <v>180</v>
      </c>
      <c r="B75" s="31" t="str">
        <f>IF(Dlab&gt;0,Dlab,"b")</f>
        <v>b</v>
      </c>
    </row>
    <row r="76" spans="1:2" x14ac:dyDescent="0.2">
      <c r="A76" s="164" t="s">
        <v>181</v>
      </c>
      <c r="B76" s="166" t="str">
        <f>IF(ISBLANK(RM),"b",RM)</f>
        <v>b</v>
      </c>
    </row>
    <row r="77" spans="1:2" x14ac:dyDescent="0.2">
      <c r="A77" s="25" t="s">
        <v>182</v>
      </c>
      <c r="B77" s="31" t="str">
        <f>IF(ISBLANK(Ilab),"b",Ilab)</f>
        <v>b</v>
      </c>
    </row>
    <row r="78" spans="1:2" x14ac:dyDescent="0.2">
      <c r="A78" s="164" t="s">
        <v>183</v>
      </c>
      <c r="B78" s="166" t="str">
        <f>IF(ISBLANK(SUPR),"b",SUPR)</f>
        <v>b</v>
      </c>
    </row>
    <row r="79" spans="1:2" x14ac:dyDescent="0.2">
      <c r="A79" s="25" t="s">
        <v>184</v>
      </c>
      <c r="B79" s="31" t="str">
        <f>IF(ISBLANK(Burden),"b",Burden)</f>
        <v>b</v>
      </c>
    </row>
    <row r="80" spans="1:2" x14ac:dyDescent="0.2">
      <c r="A80" s="164" t="s">
        <v>185</v>
      </c>
      <c r="B80" s="166" t="str">
        <f>IF(ISBLANK(Wel),"b",Wel)</f>
        <v>b</v>
      </c>
    </row>
    <row r="81" spans="1:2" x14ac:dyDescent="0.2">
      <c r="A81" s="25" t="s">
        <v>186</v>
      </c>
      <c r="B81" s="31" t="str">
        <f>IF(ISBLANK(Supp),"b",Supp)</f>
        <v>b</v>
      </c>
    </row>
    <row r="82" spans="1:2" x14ac:dyDescent="0.2">
      <c r="A82" s="25" t="s">
        <v>187</v>
      </c>
      <c r="B82" s="31" t="str">
        <f>IF(ISBLANK(UT),"b",UT)</f>
        <v>b</v>
      </c>
    </row>
    <row r="83" spans="1:2" x14ac:dyDescent="0.2">
      <c r="A83" s="25" t="s">
        <v>188</v>
      </c>
      <c r="B83" s="31" t="str">
        <f>IF(ISBLANK(Rent),"b",Rent)</f>
        <v>b</v>
      </c>
    </row>
    <row r="84" spans="1:2" x14ac:dyDescent="0.2">
      <c r="A84" s="164" t="s">
        <v>189</v>
      </c>
      <c r="B84" s="166" t="str">
        <f>IF(ISBLANK(Equip),"b",Equip)</f>
        <v>b</v>
      </c>
    </row>
    <row r="85" spans="1:2" x14ac:dyDescent="0.2">
      <c r="A85" s="164" t="s">
        <v>190</v>
      </c>
      <c r="B85" s="166" t="str">
        <f>IF(ISBLANK(Ins),"b",Ins)</f>
        <v>b</v>
      </c>
    </row>
    <row r="86" spans="1:2" x14ac:dyDescent="0.2">
      <c r="A86" s="164" t="s">
        <v>191</v>
      </c>
      <c r="B86" s="166" t="str">
        <f>IF(ISBLANK(Taxes),"b",Taxes)</f>
        <v>b</v>
      </c>
    </row>
    <row r="87" spans="1:2" x14ac:dyDescent="0.2">
      <c r="A87" s="25" t="s">
        <v>192</v>
      </c>
      <c r="B87" s="31" t="str">
        <f>IF(ISBLANK(DPR),"b",DPR)</f>
        <v>b</v>
      </c>
    </row>
    <row r="88" spans="1:2" x14ac:dyDescent="0.2">
      <c r="A88" s="25" t="s">
        <v>193</v>
      </c>
      <c r="B88" s="36" t="str">
        <f>IF((COGS&gt;0),(Omfr),"b")</f>
        <v>b</v>
      </c>
    </row>
    <row r="89" spans="1:2" x14ac:dyDescent="0.2">
      <c r="A89" s="164" t="s">
        <v>194</v>
      </c>
      <c r="B89" s="166" t="str">
        <f>IF(ISBLANK(Einv),"b",Einv)</f>
        <v>b</v>
      </c>
    </row>
    <row r="90" spans="1:2" x14ac:dyDescent="0.2">
      <c r="A90" s="164" t="s">
        <v>195</v>
      </c>
      <c r="B90" s="166" t="str">
        <f>IF(ISBLANK(Diff),"b",Diff)</f>
        <v>b</v>
      </c>
    </row>
    <row r="91" spans="1:2" ht="15.75" x14ac:dyDescent="0.25">
      <c r="A91" s="27" t="s">
        <v>196</v>
      </c>
      <c r="B91" s="32" t="str">
        <f>IF(COGS&lt;&gt;0,COGS,"b")</f>
        <v>b</v>
      </c>
    </row>
    <row r="92" spans="1:2" ht="15.75" x14ac:dyDescent="0.25">
      <c r="A92" s="27" t="s">
        <v>197</v>
      </c>
      <c r="B92" s="36" t="str">
        <f>IF(AND(NS&gt;0,COGS&gt;0),GP,"b")</f>
        <v>b</v>
      </c>
    </row>
    <row r="93" spans="1:2" x14ac:dyDescent="0.2">
      <c r="A93" s="25" t="s">
        <v>198</v>
      </c>
      <c r="B93" s="31" t="str">
        <f>IF(ISBLANK(Exec),"b",Exec)</f>
        <v>b</v>
      </c>
    </row>
    <row r="94" spans="1:2" x14ac:dyDescent="0.2">
      <c r="A94" s="25" t="s">
        <v>199</v>
      </c>
      <c r="B94" s="31" t="str">
        <f>IF(ISBLANK(Admin),"b",Admin)</f>
        <v>b</v>
      </c>
    </row>
    <row r="95" spans="1:2" x14ac:dyDescent="0.2">
      <c r="A95" s="25" t="s">
        <v>200</v>
      </c>
      <c r="B95" s="31" t="str">
        <f>IF(ISBLANK(Sls),"b",Sls)</f>
        <v>b</v>
      </c>
    </row>
    <row r="96" spans="1:2" x14ac:dyDescent="0.2">
      <c r="A96" s="25" t="s">
        <v>201</v>
      </c>
      <c r="B96" s="31" t="str">
        <f>IF(ISBLANK(Gabur),"b",Gabur)</f>
        <v>b</v>
      </c>
    </row>
    <row r="97" spans="1:3" x14ac:dyDescent="0.2">
      <c r="A97" s="164" t="s">
        <v>202</v>
      </c>
      <c r="B97" s="166" t="str">
        <f>IF(ISBLANK(Gawel),"b",Gawel)</f>
        <v>b</v>
      </c>
    </row>
    <row r="98" spans="1:3" x14ac:dyDescent="0.2">
      <c r="A98" s="164" t="s">
        <v>203</v>
      </c>
      <c r="B98" s="166" t="str">
        <f>IF(PA&gt;0,PA,"b")</f>
        <v>b</v>
      </c>
    </row>
    <row r="99" spans="1:3" x14ac:dyDescent="0.2">
      <c r="A99" s="164" t="s">
        <v>204</v>
      </c>
      <c r="B99" s="166" t="str">
        <f>IF(ISBLANK(AD),"b",AD)</f>
        <v>b</v>
      </c>
    </row>
    <row r="100" spans="1:3" x14ac:dyDescent="0.2">
      <c r="A100" s="164" t="s">
        <v>205</v>
      </c>
      <c r="B100" s="166" t="str">
        <f>IF(ISBLANK(TRV),"b",TRV)</f>
        <v>b</v>
      </c>
    </row>
    <row r="101" spans="1:3" x14ac:dyDescent="0.2">
      <c r="A101" s="164" t="s">
        <v>206</v>
      </c>
      <c r="B101" s="166" t="str">
        <f>IF(ISBLANK(Osell),"b",Osell)</f>
        <v>b</v>
      </c>
    </row>
    <row r="102" spans="1:3" x14ac:dyDescent="0.2">
      <c r="A102" s="164" t="s">
        <v>207</v>
      </c>
      <c r="B102" s="166" t="str">
        <f>IF(ISBLANK(BD),"b",BD)</f>
        <v>b</v>
      </c>
    </row>
    <row r="103" spans="1:3" x14ac:dyDescent="0.2">
      <c r="A103" s="25" t="s">
        <v>208</v>
      </c>
      <c r="B103" s="36" t="str">
        <f>IF((TE&gt;0),(OE),"b")</f>
        <v>b</v>
      </c>
    </row>
    <row r="104" spans="1:3" ht="15.75" x14ac:dyDescent="0.25">
      <c r="A104" s="164" t="s">
        <v>209</v>
      </c>
      <c r="B104" s="168" t="str">
        <f>IF(TOE&lt;&gt;0,TOE,"b")</f>
        <v>b</v>
      </c>
    </row>
    <row r="105" spans="1:3" ht="15.75" x14ac:dyDescent="0.25">
      <c r="A105" s="27" t="s">
        <v>210</v>
      </c>
      <c r="B105" s="32" t="str">
        <f>IF(TE&lt;&gt;0,TE,"b")</f>
        <v>b</v>
      </c>
    </row>
    <row r="106" spans="1:3" ht="15.75" x14ac:dyDescent="0.25">
      <c r="A106" s="27" t="s">
        <v>211</v>
      </c>
      <c r="B106" s="36" t="str">
        <f>IF(AND(GP&lt;&gt;0,TE&gt;0),OP,"b")</f>
        <v>b</v>
      </c>
    </row>
    <row r="107" spans="1:3" x14ac:dyDescent="0.2">
      <c r="A107" s="25" t="s">
        <v>212</v>
      </c>
      <c r="B107" s="31" t="str">
        <f>IF(ISBLANK(OI),"b",OI)</f>
        <v>b</v>
      </c>
    </row>
    <row r="108" spans="1:3" x14ac:dyDescent="0.2">
      <c r="A108" s="25" t="s">
        <v>213</v>
      </c>
      <c r="B108" s="31" t="str">
        <f>IF(ISBLANK(INT),"b",INT)</f>
        <v>b</v>
      </c>
    </row>
    <row r="109" spans="1:3" x14ac:dyDescent="0.2">
      <c r="A109" s="25" t="s">
        <v>214</v>
      </c>
      <c r="B109" s="31" t="str">
        <f>IF(ISBLANK(OEX),"b",OEX)</f>
        <v>b</v>
      </c>
    </row>
    <row r="110" spans="1:3" ht="15.75" x14ac:dyDescent="0.25">
      <c r="A110" s="27" t="s">
        <v>215</v>
      </c>
      <c r="B110" s="37" t="str">
        <f>IF((OP&lt;&gt;0),PBT,"b")</f>
        <v>b</v>
      </c>
    </row>
    <row r="111" spans="1:3" ht="15.75" x14ac:dyDescent="0.25">
      <c r="A111" s="25" t="s">
        <v>216</v>
      </c>
      <c r="B111" s="37" t="str">
        <f>IF(ISBLANK(TAX),"b",(TAX))</f>
        <v>b</v>
      </c>
    </row>
    <row r="112" spans="1:3" ht="15.75" x14ac:dyDescent="0.25">
      <c r="A112" s="27" t="s">
        <v>217</v>
      </c>
      <c r="B112" s="32" t="str">
        <f>IF(AND(NET&lt;&gt;0,NET&lt;&gt;PBT),NET,"b")</f>
        <v>b</v>
      </c>
      <c r="C112" s="1" t="s">
        <v>543</v>
      </c>
    </row>
    <row r="113" spans="1:3" x14ac:dyDescent="0.2">
      <c r="A113" s="164" t="s">
        <v>218</v>
      </c>
      <c r="B113" s="166" t="str">
        <f>IF(ISBLANK(CEOS),"b",CEOS)</f>
        <v>Exec Comp Survey</v>
      </c>
      <c r="C113" s="2" t="s">
        <v>544</v>
      </c>
    </row>
    <row r="114" spans="1:3" x14ac:dyDescent="0.2">
      <c r="A114" s="164" t="s">
        <v>219</v>
      </c>
      <c r="B114" s="166" t="str">
        <f>IF(ISBLANK(CEO_B),"b",CEO_B)</f>
        <v>b</v>
      </c>
    </row>
    <row r="115" spans="1:3" x14ac:dyDescent="0.2">
      <c r="A115" s="164" t="s">
        <v>220</v>
      </c>
      <c r="B115" s="166" t="str">
        <f>IF(CEOT="","b",CEOT)</f>
        <v>b</v>
      </c>
    </row>
    <row r="116" spans="1:3" x14ac:dyDescent="0.2">
      <c r="A116" s="164" t="s">
        <v>221</v>
      </c>
      <c r="B116" s="166" t="str">
        <f>IF(ISBLANK(SMS),"b",SMS)</f>
        <v>b</v>
      </c>
    </row>
    <row r="117" spans="1:3" x14ac:dyDescent="0.2">
      <c r="A117" s="164" t="s">
        <v>222</v>
      </c>
      <c r="B117" s="166" t="str">
        <f>IF(ISBLANK(SM_B),"b",SM_B)</f>
        <v>b</v>
      </c>
    </row>
    <row r="118" spans="1:3" x14ac:dyDescent="0.2">
      <c r="A118" s="164" t="s">
        <v>223</v>
      </c>
      <c r="B118" s="166" t="str">
        <f>IF(SMT="","b",SMT)</f>
        <v>b</v>
      </c>
    </row>
    <row r="119" spans="1:3" x14ac:dyDescent="0.2">
      <c r="A119" s="164" t="s">
        <v>224</v>
      </c>
      <c r="B119" s="166" t="str">
        <f>IF(ISBLANK(MANS),"b",MANS)</f>
        <v>b</v>
      </c>
    </row>
    <row r="120" spans="1:3" x14ac:dyDescent="0.2">
      <c r="A120" s="164" t="s">
        <v>225</v>
      </c>
      <c r="B120" s="166" t="str">
        <f>IF(ISBLANK(MAN_B),"b",MAN_B)</f>
        <v>b</v>
      </c>
    </row>
    <row r="121" spans="1:3" x14ac:dyDescent="0.2">
      <c r="A121" s="164" t="s">
        <v>226</v>
      </c>
      <c r="B121" s="166" t="str">
        <f>IF(MANT="","b",MANT)</f>
        <v>b</v>
      </c>
    </row>
    <row r="122" spans="1:3" x14ac:dyDescent="0.2">
      <c r="A122" s="164" t="s">
        <v>227</v>
      </c>
      <c r="B122" s="166" t="str">
        <f>IF(ISBLANK(ENGS),"b",ENGS)</f>
        <v>b</v>
      </c>
    </row>
    <row r="123" spans="1:3" x14ac:dyDescent="0.2">
      <c r="A123" s="164" t="s">
        <v>228</v>
      </c>
      <c r="B123" s="166" t="str">
        <f>IF(ISBLANK(ENG_B),"b",ENG_B)</f>
        <v>b</v>
      </c>
    </row>
    <row r="124" spans="1:3" x14ac:dyDescent="0.2">
      <c r="A124" s="164" t="s">
        <v>229</v>
      </c>
      <c r="B124" s="166" t="str">
        <f>IF(ENGT="","b",ENGT)</f>
        <v>b</v>
      </c>
    </row>
    <row r="125" spans="1:3" x14ac:dyDescent="0.2">
      <c r="A125" s="164" t="s">
        <v>230</v>
      </c>
      <c r="B125" s="166" t="str">
        <f>IF(ISBLANK(CFOS),"b",CFOS)</f>
        <v>b</v>
      </c>
    </row>
    <row r="126" spans="1:3" x14ac:dyDescent="0.2">
      <c r="A126" s="164" t="s">
        <v>231</v>
      </c>
      <c r="B126" s="166" t="str">
        <f>IF(ISBLANK(CFO_B),"b",CFO_B)</f>
        <v>b</v>
      </c>
    </row>
    <row r="127" spans="1:3" x14ac:dyDescent="0.2">
      <c r="A127" s="164" t="s">
        <v>232</v>
      </c>
      <c r="B127" s="166" t="str">
        <f>IF(CFOT="","b",CFOT)</f>
        <v>b</v>
      </c>
    </row>
    <row r="128" spans="1:3" x14ac:dyDescent="0.2">
      <c r="A128" s="164" t="s">
        <v>233</v>
      </c>
      <c r="B128" s="166" t="str">
        <f>IF(ISBLANK(ADMS),"b",ADMS)</f>
        <v>b</v>
      </c>
    </row>
    <row r="129" spans="1:2" x14ac:dyDescent="0.2">
      <c r="A129" s="164" t="s">
        <v>234</v>
      </c>
      <c r="B129" s="166" t="str">
        <f>IF(ISBLANK(ADM_B),"b",ADM_B)</f>
        <v>b</v>
      </c>
    </row>
    <row r="130" spans="1:2" x14ac:dyDescent="0.2">
      <c r="A130" s="164" t="s">
        <v>235</v>
      </c>
      <c r="B130" s="166" t="str">
        <f>IF(ADMT="","b",ADMT)</f>
        <v>b</v>
      </c>
    </row>
    <row r="131" spans="1:2" x14ac:dyDescent="0.2">
      <c r="A131" s="164" t="s">
        <v>236</v>
      </c>
      <c r="B131" s="166" t="str">
        <f>IF(ISBLANK(HRS),"b",HRS)</f>
        <v>b</v>
      </c>
    </row>
    <row r="132" spans="1:2" x14ac:dyDescent="0.2">
      <c r="A132" s="164" t="s">
        <v>237</v>
      </c>
      <c r="B132" s="166" t="str">
        <f>IF(ISBLANK(HR_B),"b",HR_B)</f>
        <v>b</v>
      </c>
    </row>
    <row r="133" spans="1:2" x14ac:dyDescent="0.2">
      <c r="A133" s="164" t="s">
        <v>238</v>
      </c>
      <c r="B133" s="166" t="str">
        <f>IF(HRT="","b",HRT)</f>
        <v>b</v>
      </c>
    </row>
    <row r="134" spans="1:2" x14ac:dyDescent="0.2">
      <c r="A134" s="164" t="s">
        <v>239</v>
      </c>
      <c r="B134" s="166" t="str">
        <f>IF(ISBLANK(MISS),"b",MISS)</f>
        <v>b</v>
      </c>
    </row>
    <row r="135" spans="1:2" x14ac:dyDescent="0.2">
      <c r="A135" s="164" t="s">
        <v>240</v>
      </c>
      <c r="B135" s="166" t="str">
        <f>IF(ISBLANK(MIS_B),"b",MIS_B)</f>
        <v>b</v>
      </c>
    </row>
    <row r="136" spans="1:2" x14ac:dyDescent="0.2">
      <c r="A136" s="164" t="s">
        <v>241</v>
      </c>
      <c r="B136" s="166" t="str">
        <f>IF(MIST="","b",MIST)</f>
        <v>b</v>
      </c>
    </row>
    <row r="137" spans="1:2" x14ac:dyDescent="0.2">
      <c r="A137" s="164" t="s">
        <v>242</v>
      </c>
      <c r="B137" s="166" t="str">
        <f>IF(ISBLANK(GMS),"b",GMS)</f>
        <v>b</v>
      </c>
    </row>
    <row r="138" spans="1:2" x14ac:dyDescent="0.2">
      <c r="A138" s="164" t="s">
        <v>243</v>
      </c>
      <c r="B138" s="166" t="str">
        <f>IF(ISBLANK(GM_B),"b",GM_B)</f>
        <v>b</v>
      </c>
    </row>
    <row r="139" spans="1:2" x14ac:dyDescent="0.2">
      <c r="A139" s="164" t="s">
        <v>244</v>
      </c>
      <c r="B139" s="166" t="str">
        <f>IF(GMT="","b",GMT)</f>
        <v>b</v>
      </c>
    </row>
    <row r="140" spans="1:2" x14ac:dyDescent="0.2">
      <c r="A140" s="164" t="s">
        <v>245</v>
      </c>
      <c r="B140" s="166" t="str">
        <f>IF(ISBLANK(CONS),"b",CONS)</f>
        <v>b</v>
      </c>
    </row>
    <row r="141" spans="1:2" x14ac:dyDescent="0.2">
      <c r="A141" s="164" t="s">
        <v>246</v>
      </c>
      <c r="B141" s="166" t="str">
        <f>IF(ISBLANK(CON_B),"b",CON_B)</f>
        <v>b</v>
      </c>
    </row>
    <row r="142" spans="1:2" x14ac:dyDescent="0.2">
      <c r="A142" s="164" t="s">
        <v>247</v>
      </c>
      <c r="B142" s="166" t="str">
        <f>IF(CONT="","b",CONT)</f>
        <v>b</v>
      </c>
    </row>
    <row r="143" spans="1:2" x14ac:dyDescent="0.2">
      <c r="A143" s="164" t="s">
        <v>279</v>
      </c>
      <c r="B143" s="166" t="str">
        <f>IF(ISBLANK(PURS),"b",PURS)</f>
        <v>b</v>
      </c>
    </row>
    <row r="144" spans="1:2" x14ac:dyDescent="0.2">
      <c r="A144" s="164" t="s">
        <v>280</v>
      </c>
      <c r="B144" s="166" t="str">
        <f>IF(ISBLANK(PUR_B),"b",PUR_B)</f>
        <v>b</v>
      </c>
    </row>
    <row r="145" spans="1:2" x14ac:dyDescent="0.2">
      <c r="A145" s="164" t="s">
        <v>281</v>
      </c>
      <c r="B145" s="166" t="str">
        <f>IF(PURT="","b",PURT)</f>
        <v>b</v>
      </c>
    </row>
    <row r="146" spans="1:2" x14ac:dyDescent="0.2">
      <c r="A146" s="164" t="s">
        <v>248</v>
      </c>
      <c r="B146" s="166" t="str">
        <f>IF(ISBLANK(SHOPS),"b",SHOPS)</f>
        <v>b</v>
      </c>
    </row>
    <row r="147" spans="1:2" x14ac:dyDescent="0.2">
      <c r="A147" s="164" t="s">
        <v>249</v>
      </c>
      <c r="B147" s="166" t="str">
        <f>IF(ISBLANK(SHOP_B),"b",SHOP_B)</f>
        <v>b</v>
      </c>
    </row>
    <row r="148" spans="1:2" x14ac:dyDescent="0.2">
      <c r="A148" s="164" t="s">
        <v>250</v>
      </c>
      <c r="B148" s="166" t="str">
        <f>IF(SHOPT="","b",SHOPT)</f>
        <v>b</v>
      </c>
    </row>
    <row r="149" spans="1:2" x14ac:dyDescent="0.2">
      <c r="A149" s="164" t="s">
        <v>251</v>
      </c>
      <c r="B149" s="166" t="str">
        <f>IF(ISBLANK(FORES),"b",FORES)</f>
        <v>b</v>
      </c>
    </row>
    <row r="150" spans="1:2" x14ac:dyDescent="0.2">
      <c r="A150" s="164" t="s">
        <v>252</v>
      </c>
      <c r="B150" s="166" t="str">
        <f>IF(ISBLANK(FORE_B),"b",FORE_B)</f>
        <v>b</v>
      </c>
    </row>
    <row r="151" spans="1:2" x14ac:dyDescent="0.2">
      <c r="A151" s="164" t="s">
        <v>253</v>
      </c>
      <c r="B151" s="166" t="str">
        <f>IF(FORET="","b",FORET)</f>
        <v>b</v>
      </c>
    </row>
    <row r="152" spans="1:2" x14ac:dyDescent="0.2">
      <c r="A152" s="164" t="s">
        <v>254</v>
      </c>
      <c r="B152" s="166" t="str">
        <f>IF(ISBLANK(QCS),"b",QCS)</f>
        <v>b</v>
      </c>
    </row>
    <row r="153" spans="1:2" x14ac:dyDescent="0.2">
      <c r="A153" s="164" t="s">
        <v>255</v>
      </c>
      <c r="B153" s="166" t="str">
        <f>IF(ISBLANK(QC_B),"b",QC_B)</f>
        <v>b</v>
      </c>
    </row>
    <row r="154" spans="1:2" x14ac:dyDescent="0.2">
      <c r="A154" s="164" t="s">
        <v>256</v>
      </c>
      <c r="B154" s="166" t="str">
        <f>IF(QCT="","b",QCT)</f>
        <v>b</v>
      </c>
    </row>
    <row r="155" spans="1:2" x14ac:dyDescent="0.2">
      <c r="A155" s="164" t="s">
        <v>257</v>
      </c>
      <c r="B155" s="166" t="str">
        <f>IF(ISBLANK(DESS),"b",DESS)</f>
        <v>b</v>
      </c>
    </row>
    <row r="156" spans="1:2" x14ac:dyDescent="0.2">
      <c r="A156" s="164" t="s">
        <v>258</v>
      </c>
      <c r="B156" s="166" t="str">
        <f>IF(ISBLANK(DES_B),"b",DES_B)</f>
        <v>b</v>
      </c>
    </row>
    <row r="157" spans="1:2" x14ac:dyDescent="0.2">
      <c r="A157" s="164" t="s">
        <v>259</v>
      </c>
      <c r="B157" s="166" t="str">
        <f>IF(DEST="","b",DEST)</f>
        <v>b</v>
      </c>
    </row>
    <row r="158" spans="1:2" x14ac:dyDescent="0.2">
      <c r="A158" s="164" t="s">
        <v>260</v>
      </c>
      <c r="B158" s="166" t="str">
        <f>IF(ISBLANK(OMS),"b",OMS)</f>
        <v>b</v>
      </c>
    </row>
    <row r="159" spans="1:2" x14ac:dyDescent="0.2">
      <c r="A159" s="164" t="s">
        <v>261</v>
      </c>
      <c r="B159" s="166" t="str">
        <f>IF(ISBLANK(OM_B),"b",OM_B)</f>
        <v>b</v>
      </c>
    </row>
    <row r="160" spans="1:2" x14ac:dyDescent="0.2">
      <c r="A160" s="164" t="s">
        <v>262</v>
      </c>
      <c r="B160" s="166" t="str">
        <f>IF(OMT="","b",OMT)</f>
        <v>b</v>
      </c>
    </row>
    <row r="161" spans="1:2" x14ac:dyDescent="0.2">
      <c r="A161" s="164" t="s">
        <v>263</v>
      </c>
      <c r="B161" s="166" t="str">
        <f>IF(ISBLANK(SMANS),"b",SMANS)</f>
        <v>b</v>
      </c>
    </row>
    <row r="162" spans="1:2" x14ac:dyDescent="0.2">
      <c r="A162" s="164" t="s">
        <v>264</v>
      </c>
      <c r="B162" s="166" t="str">
        <f>IF(ISBLANK(SMAN_B),"b",SMAN_B)</f>
        <v>b</v>
      </c>
    </row>
    <row r="163" spans="1:2" x14ac:dyDescent="0.2">
      <c r="A163" s="164" t="s">
        <v>265</v>
      </c>
      <c r="B163" s="166" t="str">
        <f>IF(SMANT="","b",SMANT)</f>
        <v>b</v>
      </c>
    </row>
    <row r="164" spans="1:2" x14ac:dyDescent="0.2">
      <c r="A164" s="164" t="s">
        <v>266</v>
      </c>
      <c r="B164" s="166" t="str">
        <f>IF(ISBLANK(SLSS),"b",SLSS)</f>
        <v>b</v>
      </c>
    </row>
    <row r="165" spans="1:2" x14ac:dyDescent="0.2">
      <c r="A165" s="164" t="s">
        <v>267</v>
      </c>
      <c r="B165" s="166" t="str">
        <f>IF(ISBLANK(SLS_B),"b",SLS_B)</f>
        <v>b</v>
      </c>
    </row>
    <row r="166" spans="1:2" x14ac:dyDescent="0.2">
      <c r="A166" s="164" t="s">
        <v>268</v>
      </c>
      <c r="B166" s="166" t="str">
        <f>IF(SLST="","b",SLST)</f>
        <v>b</v>
      </c>
    </row>
    <row r="167" spans="1:2" x14ac:dyDescent="0.2">
      <c r="A167" s="164" t="s">
        <v>269</v>
      </c>
      <c r="B167" s="166" t="str">
        <f>IF(ISBLANK(ESTS),"b",ESTS)</f>
        <v>b</v>
      </c>
    </row>
    <row r="168" spans="1:2" x14ac:dyDescent="0.2">
      <c r="A168" s="164" t="s">
        <v>270</v>
      </c>
      <c r="B168" s="166" t="str">
        <f>IF(ISBLANK(EST_B),"b",EST_B)</f>
        <v>b</v>
      </c>
    </row>
    <row r="169" spans="1:2" x14ac:dyDescent="0.2">
      <c r="A169" s="164" t="s">
        <v>271</v>
      </c>
      <c r="B169" s="166" t="str">
        <f>IF(ESTT="","b",ESTT)</f>
        <v>b</v>
      </c>
    </row>
  </sheetData>
  <phoneticPr fontId="0" type="noConversion"/>
  <pageMargins left="0.5" right="0.5" top="0.25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161</vt:i4>
      </vt:variant>
    </vt:vector>
  </HeadingPairs>
  <TitlesOfParts>
    <vt:vector size="165" baseType="lpstr">
      <vt:lpstr>NTMA Oper Costs</vt:lpstr>
      <vt:lpstr>Confidentiality</vt:lpstr>
      <vt:lpstr>Definitions</vt:lpstr>
      <vt:lpstr>Data</vt:lpstr>
      <vt:lpstr>AAR</vt:lpstr>
      <vt:lpstr>Accdpr</vt:lpstr>
      <vt:lpstr>AD</vt:lpstr>
      <vt:lpstr>Add</vt:lpstr>
      <vt:lpstr>Addr1</vt:lpstr>
      <vt:lpstr>Addr2</vt:lpstr>
      <vt:lpstr>ADM_B</vt:lpstr>
      <vt:lpstr>Admin</vt:lpstr>
      <vt:lpstr>ADMS</vt:lpstr>
      <vt:lpstr>ADMT</vt:lpstr>
      <vt:lpstr>AMF</vt:lpstr>
      <vt:lpstr>AP</vt:lpstr>
      <vt:lpstr>AR</vt:lpstr>
      <vt:lpstr>AVG</vt:lpstr>
      <vt:lpstr>BD</vt:lpstr>
      <vt:lpstr>Binv</vt:lpstr>
      <vt:lpstr>Burden</vt:lpstr>
      <vt:lpstr>CA</vt:lpstr>
      <vt:lpstr>Cash</vt:lpstr>
      <vt:lpstr>CEO_B</vt:lpstr>
      <vt:lpstr>CEOS</vt:lpstr>
      <vt:lpstr>CEOT</vt:lpstr>
      <vt:lpstr>CFO_B</vt:lpstr>
      <vt:lpstr>CFOS</vt:lpstr>
      <vt:lpstr>CFOT</vt:lpstr>
      <vt:lpstr>City</vt:lpstr>
      <vt:lpstr>CL</vt:lpstr>
      <vt:lpstr>COGS</vt:lpstr>
      <vt:lpstr>CON_B</vt:lpstr>
      <vt:lpstr>CONS</vt:lpstr>
      <vt:lpstr>CONT</vt:lpstr>
      <vt:lpstr>DES_B</vt:lpstr>
      <vt:lpstr>DESS</vt:lpstr>
      <vt:lpstr>DEST</vt:lpstr>
      <vt:lpstr>Diff</vt:lpstr>
      <vt:lpstr>Dlab</vt:lpstr>
      <vt:lpstr>DPR</vt:lpstr>
      <vt:lpstr>Dremp</vt:lpstr>
      <vt:lpstr>eaddr</vt:lpstr>
      <vt:lpstr>Einv</vt:lpstr>
      <vt:lpstr>EMP</vt:lpstr>
      <vt:lpstr>End</vt:lpstr>
      <vt:lpstr>ENG_B</vt:lpstr>
      <vt:lpstr>ENGS</vt:lpstr>
      <vt:lpstr>ENGT</vt:lpstr>
      <vt:lpstr>EQTY</vt:lpstr>
      <vt:lpstr>Equip</vt:lpstr>
      <vt:lpstr>EST_B</vt:lpstr>
      <vt:lpstr>ESTS</vt:lpstr>
      <vt:lpstr>ESTT</vt:lpstr>
      <vt:lpstr>Exec</vt:lpstr>
      <vt:lpstr>Exemp</vt:lpstr>
      <vt:lpstr>Export</vt:lpstr>
      <vt:lpstr>Fiscal</vt:lpstr>
      <vt:lpstr>Fixed</vt:lpstr>
      <vt:lpstr>FORE_B</vt:lpstr>
      <vt:lpstr>FORES</vt:lpstr>
      <vt:lpstr>FORET</vt:lpstr>
      <vt:lpstr>Gabur</vt:lpstr>
      <vt:lpstr>Gawel</vt:lpstr>
      <vt:lpstr>GFA</vt:lpstr>
      <vt:lpstr>GM_B</vt:lpstr>
      <vt:lpstr>GMS</vt:lpstr>
      <vt:lpstr>GMT</vt:lpstr>
      <vt:lpstr>GP</vt:lpstr>
      <vt:lpstr>GPM</vt:lpstr>
      <vt:lpstr>HR_B</vt:lpstr>
      <vt:lpstr>HRS</vt:lpstr>
      <vt:lpstr>HRT</vt:lpstr>
      <vt:lpstr>ID</vt:lpstr>
      <vt:lpstr>Ilab</vt:lpstr>
      <vt:lpstr>Indemp</vt:lpstr>
      <vt:lpstr>Ins</vt:lpstr>
      <vt:lpstr>INT</vt:lpstr>
      <vt:lpstr>Inv</vt:lpstr>
      <vt:lpstr>Lab</vt:lpstr>
      <vt:lpstr>LIAB</vt:lpstr>
      <vt:lpstr>LIFO</vt:lpstr>
      <vt:lpstr>LOAN</vt:lpstr>
      <vt:lpstr>LTL</vt:lpstr>
      <vt:lpstr>MAN_B</vt:lpstr>
      <vt:lpstr>MANS</vt:lpstr>
      <vt:lpstr>MANT</vt:lpstr>
      <vt:lpstr>Mat</vt:lpstr>
      <vt:lpstr>MIS_B</vt:lpstr>
      <vt:lpstr>MISS</vt:lpstr>
      <vt:lpstr>MIST</vt:lpstr>
      <vt:lpstr>Mlds</vt:lpstr>
      <vt:lpstr>Name</vt:lpstr>
      <vt:lpstr>NET</vt:lpstr>
      <vt:lpstr>NP</vt:lpstr>
      <vt:lpstr>NS</vt:lpstr>
      <vt:lpstr>OCA</vt:lpstr>
      <vt:lpstr>OCL</vt:lpstr>
      <vt:lpstr>OE</vt:lpstr>
      <vt:lpstr>OEMP</vt:lpstr>
      <vt:lpstr>OEX</vt:lpstr>
      <vt:lpstr>OFA</vt:lpstr>
      <vt:lpstr>OI</vt:lpstr>
      <vt:lpstr>Oind</vt:lpstr>
      <vt:lpstr>OM_B</vt:lpstr>
      <vt:lpstr>Omfr</vt:lpstr>
      <vt:lpstr>OMS</vt:lpstr>
      <vt:lpstr>OMT</vt:lpstr>
      <vt:lpstr>OP</vt:lpstr>
      <vt:lpstr>Org</vt:lpstr>
      <vt:lpstr>Osell</vt:lpstr>
      <vt:lpstr>OT</vt:lpstr>
      <vt:lpstr>PA</vt:lpstr>
      <vt:lpstr>PBT</vt:lpstr>
      <vt:lpstr>PDF</vt:lpstr>
      <vt:lpstr>Person</vt:lpstr>
      <vt:lpstr>Phone</vt:lpstr>
      <vt:lpstr>Prev</vt:lpstr>
      <vt:lpstr>Confidentiality!Print_Area</vt:lpstr>
      <vt:lpstr>Data!Print_Area</vt:lpstr>
      <vt:lpstr>Definitions!Print_Area</vt:lpstr>
      <vt:lpstr>'NTMA Oper Costs'!Print_Area</vt:lpstr>
      <vt:lpstr>Prodn</vt:lpstr>
      <vt:lpstr>PUR_B</vt:lpstr>
      <vt:lpstr>PURS</vt:lpstr>
      <vt:lpstr>PURT</vt:lpstr>
      <vt:lpstr>QC_B</vt:lpstr>
      <vt:lpstr>QCS</vt:lpstr>
      <vt:lpstr>QCT</vt:lpstr>
      <vt:lpstr>Rent</vt:lpstr>
      <vt:lpstr>RM</vt:lpstr>
      <vt:lpstr>Sheet</vt:lpstr>
      <vt:lpstr>SHOP_B</vt:lpstr>
      <vt:lpstr>SHOPS</vt:lpstr>
      <vt:lpstr>SHOPT</vt:lpstr>
      <vt:lpstr>Sls</vt:lpstr>
      <vt:lpstr>SLS_B</vt:lpstr>
      <vt:lpstr>Slsemp</vt:lpstr>
      <vt:lpstr>SLSS</vt:lpstr>
      <vt:lpstr>SLST</vt:lpstr>
      <vt:lpstr>SM_B</vt:lpstr>
      <vt:lpstr>SMAN_B</vt:lpstr>
      <vt:lpstr>SMANS</vt:lpstr>
      <vt:lpstr>SMANT</vt:lpstr>
      <vt:lpstr>SMS</vt:lpstr>
      <vt:lpstr>SMT</vt:lpstr>
      <vt:lpstr>SPC</vt:lpstr>
      <vt:lpstr>State</vt:lpstr>
      <vt:lpstr>Sub</vt:lpstr>
      <vt:lpstr>Supp</vt:lpstr>
      <vt:lpstr>SUPR</vt:lpstr>
      <vt:lpstr>Supremp</vt:lpstr>
      <vt:lpstr>TA</vt:lpstr>
      <vt:lpstr>TAX</vt:lpstr>
      <vt:lpstr>Taxes</vt:lpstr>
      <vt:lpstr>TE</vt:lpstr>
      <vt:lpstr>Title</vt:lpstr>
      <vt:lpstr>Tls</vt:lpstr>
      <vt:lpstr>TOE</vt:lpstr>
      <vt:lpstr>TRV</vt:lpstr>
      <vt:lpstr>UT</vt:lpstr>
      <vt:lpstr>Wel</vt:lpstr>
      <vt:lpstr>Years</vt:lpstr>
      <vt:lpstr>Yr</vt:lpstr>
      <vt:lpstr>Zipcode</vt:lpstr>
    </vt:vector>
  </TitlesOfParts>
  <Company>Bates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Mackay</dc:creator>
  <cp:lastModifiedBy>Taylor Mackay</cp:lastModifiedBy>
  <cp:lastPrinted>2014-01-13T23:29:55Z</cp:lastPrinted>
  <dcterms:created xsi:type="dcterms:W3CDTF">2000-09-29T21:49:52Z</dcterms:created>
  <dcterms:modified xsi:type="dcterms:W3CDTF">2023-11-29T22:23:14Z</dcterms:modified>
</cp:coreProperties>
</file>